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tabRatio="934" activeTab="11"/>
  </bookViews>
  <sheets>
    <sheet name="Revenue" sheetId="1" r:id="rId1"/>
    <sheet name="Sheet3" sheetId="2" state="hidden" r:id="rId2"/>
    <sheet name="GRAND SUMMARY" sheetId="3" r:id="rId3"/>
    <sheet name="PERSONEL EMOLUMENTS" sheetId="4" state="hidden" r:id="rId4"/>
    <sheet name="Sheet2" sheetId="5" state="hidden" r:id="rId5"/>
    <sheet name="Sheet1" sheetId="6" state="hidden" r:id="rId6"/>
    <sheet name="PROJECT SUMMARY" sheetId="7" state="hidden" r:id="rId7"/>
    <sheet name="SUMMARY O&amp;M" sheetId="8" state="hidden" r:id="rId8"/>
    <sheet name="PROJECTS DETAILS" sheetId="9" r:id="rId9"/>
    <sheet name="EXECUTIVE" sheetId="10" r:id="rId10"/>
    <sheet name="CPSB" sheetId="11" r:id="rId11"/>
    <sheet name="ADMINISTRATION" sheetId="12" r:id="rId12"/>
    <sheet name="STAKEHOLDER" sheetId="13" r:id="rId13"/>
    <sheet name="FINANCE" sheetId="14" r:id="rId14"/>
    <sheet name="PLANNING" sheetId="15" r:id="rId15"/>
    <sheet name="AGRIC &amp; COOP" sheetId="16" r:id="rId16"/>
    <sheet name="LIVESTOCK &amp; VET" sheetId="17" r:id="rId17"/>
    <sheet name="WATER" sheetId="18" r:id="rId18"/>
    <sheet name="ENERGY &amp; ENV" sheetId="19" r:id="rId19"/>
    <sheet name="EDUCATION" sheetId="20" r:id="rId20"/>
    <sheet name="MEDICAL" sheetId="21" r:id="rId21"/>
    <sheet name="PUBLIC HEALTH" sheetId="22" r:id="rId22"/>
    <sheet name="LANDS" sheetId="23" r:id="rId23"/>
    <sheet name="ROADS" sheetId="24" r:id="rId24"/>
    <sheet name="PUBLIC WORKS" sheetId="25" r:id="rId25"/>
    <sheet name="TRADE" sheetId="26" r:id="rId26"/>
    <sheet name="CULTURE" sheetId="27" r:id="rId27"/>
    <sheet name="KISII MUNICIPALITY" sheetId="28" r:id="rId28"/>
    <sheet name="COUNTY ASSEMBLY" sheetId="29" state="hidden" r:id="rId29"/>
    <sheet name="CULTURE 1" sheetId="30" state="hidden" r:id="rId30"/>
    <sheet name="EXECUTIVE 1" sheetId="31" state="hidden" r:id="rId31"/>
    <sheet name="ADMIN 1" sheetId="32" state="hidden" r:id="rId32"/>
    <sheet name="FINANCE 1" sheetId="33" state="hidden" r:id="rId33"/>
    <sheet name="LIVESTOCK" sheetId="34" state="hidden" r:id="rId34"/>
    <sheet name="ENERGY 1" sheetId="35" state="hidden" r:id="rId35"/>
    <sheet name="MEDICAL 1" sheetId="36" state="hidden" r:id="rId36"/>
    <sheet name="EDUCATION 1" sheetId="37" state="hidden" r:id="rId37"/>
    <sheet name="ROADS 1" sheetId="38" state="hidden" r:id="rId38"/>
    <sheet name="TRADE 1" sheetId="39" state="hidden" r:id="rId39"/>
    <sheet name="LANDS 1" sheetId="40" state="hidden" r:id="rId40"/>
    <sheet name="KISII MUNICIPALITY 1" sheetId="41" state="hidden" r:id="rId41"/>
    <sheet name="COUNTY ASSEMBLY1" sheetId="42" state="hidden" r:id="rId42"/>
  </sheets>
  <definedNames>
    <definedName name="_xlnm.Print_Area" localSheetId="11">'ADMINISTRATION'!$A$1:$D$152</definedName>
    <definedName name="_xlnm.Print_Area" localSheetId="15">'AGRIC &amp; COOP'!$A$1:$F$128</definedName>
    <definedName name="_xlnm.Print_Area" localSheetId="28">'COUNTY ASSEMBLY'!$A$1:$E$205</definedName>
    <definedName name="_xlnm.Print_Area" localSheetId="10">'CPSB'!$A$1:$D$73</definedName>
    <definedName name="_xlnm.Print_Area" localSheetId="26">'CULTURE'!$A$1:$F$129</definedName>
    <definedName name="_xlnm.Print_Area" localSheetId="19">'EDUCATION'!$A$1:$F$106</definedName>
    <definedName name="_xlnm.Print_Area" localSheetId="18">'ENERGY &amp; ENV'!$A$1:$F$106</definedName>
    <definedName name="_xlnm.Print_Area" localSheetId="9">'EXECUTIVE'!$A$1:$D$198</definedName>
    <definedName name="_xlnm.Print_Area" localSheetId="13">'FINANCE'!$A$1:$F$221</definedName>
    <definedName name="_xlnm.Print_Area" localSheetId="2">'GRAND SUMMARY'!$A$1:$H$28</definedName>
    <definedName name="_xlnm.Print_Area" localSheetId="27">'KISII MUNICIPALITY'!$A$1:$F$111</definedName>
    <definedName name="_xlnm.Print_Area" localSheetId="22">'LANDS'!$A$1:$F$110</definedName>
    <definedName name="_xlnm.Print_Area" localSheetId="16">'LIVESTOCK &amp; VET'!$A$1:$F$143</definedName>
    <definedName name="_xlnm.Print_Area" localSheetId="20">'MEDICAL'!$A$1:$F$123</definedName>
    <definedName name="_xlnm.Print_Area" localSheetId="14">'PLANNING'!$A$1:$F$158</definedName>
    <definedName name="_xlnm.Print_Area" localSheetId="6">'PROJECT SUMMARY'!$A$1:$D$22</definedName>
    <definedName name="_xlnm.Print_Area" localSheetId="8">'PROJECTS DETAILS'!$B$1:$E$322</definedName>
    <definedName name="_xlnm.Print_Area" localSheetId="21">'PUBLIC HEALTH'!$A$1:$F$51</definedName>
    <definedName name="_xlnm.Print_Area" localSheetId="24">'PUBLIC WORKS'!$A$1:$F$82</definedName>
    <definedName name="_xlnm.Print_Area" localSheetId="0">'Revenue'!$A$1:$C$67</definedName>
    <definedName name="_xlnm.Print_Area" localSheetId="23">'ROADS'!$A$1:$F$92</definedName>
    <definedName name="_xlnm.Print_Area" localSheetId="12">'STAKEHOLDER'!$A$1:$D$96</definedName>
    <definedName name="_xlnm.Print_Area" localSheetId="7">'SUMMARY O&amp;M'!$A$1:$E$23</definedName>
    <definedName name="_xlnm.Print_Area" localSheetId="25">'TRADE'!$A$1:$F$159</definedName>
    <definedName name="_xlnm.Print_Area" localSheetId="17">'WATER'!$A$1:$F$69</definedName>
    <definedName name="_xlnm.Print_Titles" localSheetId="11">'ADMINISTRATION'!$1:$2</definedName>
    <definedName name="_xlnm.Print_Titles" localSheetId="15">'AGRIC &amp; COOP'!$1:$2</definedName>
    <definedName name="_xlnm.Print_Titles" localSheetId="10">'CPSB'!$1:$2</definedName>
    <definedName name="_xlnm.Print_Titles" localSheetId="26">'CULTURE'!$1:$2</definedName>
    <definedName name="_xlnm.Print_Titles" localSheetId="19">'EDUCATION'!$1:$2</definedName>
    <definedName name="_xlnm.Print_Titles" localSheetId="18">'ENERGY &amp; ENV'!$1:$2</definedName>
    <definedName name="_xlnm.Print_Titles" localSheetId="9">'EXECUTIVE'!$1:$2</definedName>
    <definedName name="_xlnm.Print_Titles" localSheetId="13">'FINANCE'!$1:$2</definedName>
    <definedName name="_xlnm.Print_Titles" localSheetId="27">'KISII MUNICIPALITY'!$1:$2</definedName>
    <definedName name="_xlnm.Print_Titles" localSheetId="22">'LANDS'!$1:$2</definedName>
    <definedName name="_xlnm.Print_Titles" localSheetId="16">'LIVESTOCK &amp; VET'!$1:$2</definedName>
    <definedName name="_xlnm.Print_Titles" localSheetId="20">'MEDICAL'!$1:$2</definedName>
    <definedName name="_xlnm.Print_Titles" localSheetId="14">'PLANNING'!$1:$2</definedName>
    <definedName name="_xlnm.Print_Titles" localSheetId="8">'PROJECTS DETAILS'!$1:$3</definedName>
    <definedName name="_xlnm.Print_Titles" localSheetId="24">'PUBLIC WORKS'!$1:$2</definedName>
    <definedName name="_xlnm.Print_Titles" localSheetId="0">'Revenue'!$1:$2</definedName>
    <definedName name="_xlnm.Print_Titles" localSheetId="23">'ROADS'!$1:$2</definedName>
    <definedName name="_xlnm.Print_Titles" localSheetId="12">'STAKEHOLDER'!$1:$2</definedName>
    <definedName name="_xlnm.Print_Titles" localSheetId="25">'TRADE'!$1:$2</definedName>
    <definedName name="_xlnm.Print_Titles" localSheetId="17">'WATER'!$1:$2</definedName>
  </definedNames>
  <calcPr fullCalcOnLoad="1"/>
</workbook>
</file>

<file path=xl/comments14.xml><?xml version="1.0" encoding="utf-8"?>
<comments xmlns="http://schemas.openxmlformats.org/spreadsheetml/2006/main">
  <authors>
    <author>Wycliffe Nyaundi</author>
  </authors>
  <commentList>
    <comment ref="D189" authorId="0">
      <text>
        <r>
          <rPr>
            <b/>
            <sz val="9"/>
            <rFont val="Tahoma"/>
            <family val="2"/>
          </rPr>
          <t>Wycliffe Nyaundi:</t>
        </r>
        <r>
          <rPr>
            <sz val="9"/>
            <rFont val="Tahoma"/>
            <family val="2"/>
          </rPr>
          <t xml:space="preserve">
pending Kisii ATC</t>
        </r>
      </text>
    </comment>
  </commentList>
</comments>
</file>

<file path=xl/comments28.xml><?xml version="1.0" encoding="utf-8"?>
<comments xmlns="http://schemas.openxmlformats.org/spreadsheetml/2006/main">
  <authors>
    <author>Windows User</author>
  </authors>
  <commentList>
    <comment ref="F30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<sst xmlns="http://schemas.openxmlformats.org/spreadsheetml/2006/main" count="4681" uniqueCount="1126">
  <si>
    <t>2110101</t>
  </si>
  <si>
    <t xml:space="preserve">Basic Salaries </t>
  </si>
  <si>
    <t>Basic Salaries - Permanent Employees</t>
  </si>
  <si>
    <t>2110301</t>
  </si>
  <si>
    <t>House Allowance</t>
  </si>
  <si>
    <t>Personal Allowance Paid as Part of Salary</t>
  </si>
  <si>
    <t>2110303</t>
  </si>
  <si>
    <t>Acting Allowance</t>
  </si>
  <si>
    <t>2110312</t>
  </si>
  <si>
    <t>Responsibility Allowance</t>
  </si>
  <si>
    <t>2110314</t>
  </si>
  <si>
    <t>Transport Allowance</t>
  </si>
  <si>
    <t>2110320</t>
  </si>
  <si>
    <t>Leave Allowance</t>
  </si>
  <si>
    <t>2110322</t>
  </si>
  <si>
    <t>Risk Allowance</t>
  </si>
  <si>
    <t>2110405</t>
  </si>
  <si>
    <t>Telephone Allowance</t>
  </si>
  <si>
    <t>2120103</t>
  </si>
  <si>
    <t>2210101</t>
  </si>
  <si>
    <t>Electricity</t>
  </si>
  <si>
    <t>Utilities Supplies and Services</t>
  </si>
  <si>
    <t>2210102</t>
  </si>
  <si>
    <t>Water and sewerage charges</t>
  </si>
  <si>
    <t>2210103</t>
  </si>
  <si>
    <t>Gas expenses</t>
  </si>
  <si>
    <t>2210201</t>
  </si>
  <si>
    <t>Telephone, Telex, Facsmile and Mobile Phone Services</t>
  </si>
  <si>
    <t>Communication, Supplies and Services</t>
  </si>
  <si>
    <t>2210202</t>
  </si>
  <si>
    <t>Internet Connections</t>
  </si>
  <si>
    <t>2210203</t>
  </si>
  <si>
    <t>Courier and Postal Services</t>
  </si>
  <si>
    <t>2210301</t>
  </si>
  <si>
    <t>Travel Costs (airlines, bus, railway, mileage allowances, etc.)</t>
  </si>
  <si>
    <t>Domestic Travel and Subsistence, and Other Transportation Costs</t>
  </si>
  <si>
    <t>2210302</t>
  </si>
  <si>
    <t>Accommodation - Domestic Travel</t>
  </si>
  <si>
    <t>2210303</t>
  </si>
  <si>
    <t>Daily Subsistence Allowance</t>
  </si>
  <si>
    <t>2210304</t>
  </si>
  <si>
    <t>Sundry Items (e.g. airport tax, taxis, etc…)</t>
  </si>
  <si>
    <t>2210401</t>
  </si>
  <si>
    <t>Travel Costs (airlines, bus, railway, etc.)</t>
  </si>
  <si>
    <t>Foreign Travel and Subsistence, and other transportation costs</t>
  </si>
  <si>
    <t>2210402</t>
  </si>
  <si>
    <t>Accommodation</t>
  </si>
  <si>
    <t>2210403</t>
  </si>
  <si>
    <t>2210404</t>
  </si>
  <si>
    <t>Sundry Items (airport tax, taxis, etc…)</t>
  </si>
  <si>
    <t>Printing , Advertising and Information Supplies and Services</t>
  </si>
  <si>
    <t>2210502</t>
  </si>
  <si>
    <t>Publishing and Printing Services</t>
  </si>
  <si>
    <t>2210503</t>
  </si>
  <si>
    <t>Subscriptions to Newspapers, Magazines and Periodicals</t>
  </si>
  <si>
    <t>2210504</t>
  </si>
  <si>
    <t>Advertising, Awareness and Publicity Campaigns</t>
  </si>
  <si>
    <t>2210505</t>
  </si>
  <si>
    <t>Trade Shows and Exhibitions</t>
  </si>
  <si>
    <t>Rentals of Produced Assets</t>
  </si>
  <si>
    <t>2210602</t>
  </si>
  <si>
    <t>Payment of Rents and Rates - Residential</t>
  </si>
  <si>
    <t>2210603</t>
  </si>
  <si>
    <t>Rents and Rates - Non-Residential</t>
  </si>
  <si>
    <t>2210604</t>
  </si>
  <si>
    <t>Hire of Transport</t>
  </si>
  <si>
    <t>2210701</t>
  </si>
  <si>
    <t>Travel Allowance</t>
  </si>
  <si>
    <t>Training Expense (including capacity building)</t>
  </si>
  <si>
    <t>2210702</t>
  </si>
  <si>
    <t>Remuneration of Instructors and Contract Based Training Services</t>
  </si>
  <si>
    <t>2210703</t>
  </si>
  <si>
    <t>Production and Printing of Training Materials</t>
  </si>
  <si>
    <t>2210704</t>
  </si>
  <si>
    <t>Hire of Training Facilities and Equipment</t>
  </si>
  <si>
    <t>2210710</t>
  </si>
  <si>
    <t>Accommodation Allowance</t>
  </si>
  <si>
    <t>2210711</t>
  </si>
  <si>
    <t>Tuition Fees Allowance</t>
  </si>
  <si>
    <t>Training Allowance</t>
  </si>
  <si>
    <t>2210715</t>
  </si>
  <si>
    <t>Kenya School of Government</t>
  </si>
  <si>
    <t>2210801</t>
  </si>
  <si>
    <t>Catering Services (receptions), Accommodation, Gifts, Food and Drinks</t>
  </si>
  <si>
    <t>Hospitality Supplies and Services</t>
  </si>
  <si>
    <t>2210802</t>
  </si>
  <si>
    <t>Boards, Committees, Conferences and Seminars</t>
  </si>
  <si>
    <t>2210805</t>
  </si>
  <si>
    <t>National Celebrations</t>
  </si>
  <si>
    <t>2210806</t>
  </si>
  <si>
    <t>2210808</t>
  </si>
  <si>
    <t>Purchase of Coffins</t>
  </si>
  <si>
    <t>2210901</t>
  </si>
  <si>
    <t>Group Personal Insurance</t>
  </si>
  <si>
    <t>Insurance Costs</t>
  </si>
  <si>
    <t>2210903</t>
  </si>
  <si>
    <t>Plant, Equipment and Machinery Insurance</t>
  </si>
  <si>
    <t>2210904</t>
  </si>
  <si>
    <t>Motor Vehicle Insurance</t>
  </si>
  <si>
    <t>2210910</t>
  </si>
  <si>
    <t>Medical Insurance</t>
  </si>
  <si>
    <t>Specialised Materials and Supplies</t>
  </si>
  <si>
    <t>2211003</t>
  </si>
  <si>
    <t>Veterinarian Supplies and Materials</t>
  </si>
  <si>
    <t>2211005</t>
  </si>
  <si>
    <t>Chemicals and Industrial Gases</t>
  </si>
  <si>
    <t>2211007</t>
  </si>
  <si>
    <t>Agricultural Materials, Supplies and Small Equipment</t>
  </si>
  <si>
    <t>2211008</t>
  </si>
  <si>
    <t>Laboratory Materials, Supplies and Small Equipment</t>
  </si>
  <si>
    <t>2211009</t>
  </si>
  <si>
    <t>Education and Library Supplies</t>
  </si>
  <si>
    <t>2211010</t>
  </si>
  <si>
    <t>Supplies for Broadcasting and Information Services</t>
  </si>
  <si>
    <t>2211011</t>
  </si>
  <si>
    <t>Purchase/Production of Photographic and Audio-Visual Materials</t>
  </si>
  <si>
    <t>2211016</t>
  </si>
  <si>
    <t>Purchase of Uniforms and Clothing - Staff</t>
  </si>
  <si>
    <t>2211023</t>
  </si>
  <si>
    <t>Supplies for Production</t>
  </si>
  <si>
    <t>2211029</t>
  </si>
  <si>
    <t>Purchase of Safety Gear</t>
  </si>
  <si>
    <t>2211101</t>
  </si>
  <si>
    <t>General Office Supplies (papers, pencils, forms, small office equipment etc)</t>
  </si>
  <si>
    <t>Office and General Supplies and Services</t>
  </si>
  <si>
    <t>2211102</t>
  </si>
  <si>
    <t>Supplies and Accessories for Computers and Printers</t>
  </si>
  <si>
    <t>2211103</t>
  </si>
  <si>
    <t>Sanitary and Cleaning Materials, Supplies and Services</t>
  </si>
  <si>
    <t>2211201</t>
  </si>
  <si>
    <t>Refined Fuels and Lubricants for Transport</t>
  </si>
  <si>
    <t>Fuel Oil and Lubricants</t>
  </si>
  <si>
    <t>2211203</t>
  </si>
  <si>
    <t>Refined Fuels and Lubricants -- Other</t>
  </si>
  <si>
    <t>2211301</t>
  </si>
  <si>
    <t>Bank Service Commission and Charges</t>
  </si>
  <si>
    <t>Other Operating Expenses</t>
  </si>
  <si>
    <t>2211305</t>
  </si>
  <si>
    <t>Contracted Guards and Cleaning Services</t>
  </si>
  <si>
    <t>2211306</t>
  </si>
  <si>
    <t>Membership Fees, Dues and Subscriptions to Professional and Trade Bodies</t>
  </si>
  <si>
    <t>2211310</t>
  </si>
  <si>
    <t>Contracted Professional Services</t>
  </si>
  <si>
    <t>2211311</t>
  </si>
  <si>
    <t>Contracted Technical Services</t>
  </si>
  <si>
    <t>2211313</t>
  </si>
  <si>
    <t>Security Operations</t>
  </si>
  <si>
    <t>2211322</t>
  </si>
  <si>
    <t>Binding  of Records</t>
  </si>
  <si>
    <t>2220101</t>
  </si>
  <si>
    <t>Maintenance Expenses - Motor Vehicles and cycles</t>
  </si>
  <si>
    <t>Routine Maintenance - Vehicles and Other Transport Equipment</t>
  </si>
  <si>
    <t>2220201</t>
  </si>
  <si>
    <t>Maintenance of Plant, Machinery and Equipment (including lifts)</t>
  </si>
  <si>
    <t>Routine Maintenance - Other Assets</t>
  </si>
  <si>
    <t>2220202</t>
  </si>
  <si>
    <t>Maintenance of Office Furniture and Equipment</t>
  </si>
  <si>
    <t>2220205</t>
  </si>
  <si>
    <t>Maintenance of Buildings and Stations -- Non-Residential</t>
  </si>
  <si>
    <t>2220206</t>
  </si>
  <si>
    <t>Maintenance of Civil Works</t>
  </si>
  <si>
    <t>2220209</t>
  </si>
  <si>
    <t>Minor Alterations to Buildings and Civil Works</t>
  </si>
  <si>
    <t>2220210</t>
  </si>
  <si>
    <t>Maintenance of Computers, Software, and Networks</t>
  </si>
  <si>
    <t>2220212</t>
  </si>
  <si>
    <t>Maintenance of Communications Equipment</t>
  </si>
  <si>
    <t>Purchase of Office Furniture and Fittings</t>
  </si>
  <si>
    <t>CHART OF ACCOUNTS -RECURRENT</t>
  </si>
  <si>
    <t>Expenses of Governor's Household</t>
  </si>
  <si>
    <t>Sub Total</t>
  </si>
  <si>
    <t>Total Operations and Maintenance</t>
  </si>
  <si>
    <t>Total Recurrent</t>
  </si>
  <si>
    <t>Total Salaries and Wages</t>
  </si>
  <si>
    <t>OFFICE OF THE GOVERNOR AND DEPUTY GOVERNOR</t>
  </si>
  <si>
    <t>SUMMARY OF OPERATIONS AND MAINTENANCE</t>
  </si>
  <si>
    <t>DEPARTMENT</t>
  </si>
  <si>
    <t>EXECUTIVE</t>
  </si>
  <si>
    <t>PUBLIC SERVICE BOARD</t>
  </si>
  <si>
    <t>ADMINISTRATION</t>
  </si>
  <si>
    <t>STAKEHOLDER MANAGEMENT</t>
  </si>
  <si>
    <t>FINANCE AND ACCOUNTING SERVICES</t>
  </si>
  <si>
    <t>ECONOMIC PLANNING</t>
  </si>
  <si>
    <t>FISHERIES, LIVESTOCK AND VETERINARY SERVICES</t>
  </si>
  <si>
    <t>AGRICULTURE AND CO-OPERATIVE DEVELOPMENT</t>
  </si>
  <si>
    <t>WATER AND SANITATION SERVICES</t>
  </si>
  <si>
    <t>ENERGY, ENVIRONMENT AND NATURAL RESOURCES</t>
  </si>
  <si>
    <t>EDUCATION</t>
  </si>
  <si>
    <t>MEDICAL SERVICES</t>
  </si>
  <si>
    <t>PUBLIC HEALTH</t>
  </si>
  <si>
    <t>LANDS AND PHYSICAL PLANNING</t>
  </si>
  <si>
    <t>ROADS</t>
  </si>
  <si>
    <t>PUBLIC WORKS</t>
  </si>
  <si>
    <t>TRADE</t>
  </si>
  <si>
    <t>CULTURE</t>
  </si>
  <si>
    <t>KISII TOWN</t>
  </si>
  <si>
    <t>COUNTY ASSEMBLY</t>
  </si>
  <si>
    <t>TOTAL</t>
  </si>
  <si>
    <t>Other Allowances</t>
  </si>
  <si>
    <t>Purchase of office equipment</t>
  </si>
  <si>
    <t>Purchase of office furniture</t>
  </si>
  <si>
    <t>Purchase of computers, ICT Network</t>
  </si>
  <si>
    <t>Purchase of other office equipment</t>
  </si>
  <si>
    <t>Purchase of Computers and ICT equipment</t>
  </si>
  <si>
    <t>Purchase of photocopier</t>
  </si>
  <si>
    <t>Purchase of computers and ICT equipment</t>
  </si>
  <si>
    <t>Refurbishment of buildings-Non residential</t>
  </si>
  <si>
    <t>Agricultural Extension Services</t>
  </si>
  <si>
    <t>Travel costs *Airline, bus , railway, milage allowances etc)</t>
  </si>
  <si>
    <t>Trade Shows and Exhibitions (Agriculutral show)</t>
  </si>
  <si>
    <t>Employer Contribution to Staff Pensions Scheme (Gratuity)</t>
  </si>
  <si>
    <t>STAKEHOLDER MANAGEMENT, PUBLIC PARTICIPATION AND DISASTER MANAGEMENT</t>
  </si>
  <si>
    <t>ADMINSTRATION, ENFORCEMENT AND DEVOLVED UNITS</t>
  </si>
  <si>
    <t>AGRICULTURE AND COOPERATIVE DEVELOPMENT</t>
  </si>
  <si>
    <t>ECONOMIC PLANNING AND DEVELOPMENT</t>
  </si>
  <si>
    <t>ROADS DEVELOPMENT</t>
  </si>
  <si>
    <t>PUBLIC WORKS AND HOUSING</t>
  </si>
  <si>
    <t>Equitable Share</t>
  </si>
  <si>
    <t>Conditional Share for Kisii Level Five</t>
  </si>
  <si>
    <t>Road Maintenance Fuel Levy Fund</t>
  </si>
  <si>
    <t>Leasing of Medical Equipment</t>
  </si>
  <si>
    <t>Conditional Allocation for Compensation for User Fee Foregone</t>
  </si>
  <si>
    <t>Allocation for Development of Youth Polytechnics</t>
  </si>
  <si>
    <t>National Agricultural and Rural Inclusive Project</t>
  </si>
  <si>
    <t>Urban Development Grant</t>
  </si>
  <si>
    <t>Local Revenues</t>
  </si>
  <si>
    <t>TOTAL  REVENUE</t>
  </si>
  <si>
    <t>LOCAL REVENUE ITEMIZATION</t>
  </si>
  <si>
    <t>LOCAL LEVIES: 1-2000</t>
  </si>
  <si>
    <t>1-2101 Property rates</t>
  </si>
  <si>
    <t xml:space="preserve">           Property  rates arrears</t>
  </si>
  <si>
    <t>1-2104 Other Property Charges</t>
  </si>
  <si>
    <t>1-2201 Business Permits Current Year</t>
  </si>
  <si>
    <t>1-2301 Tea Cess</t>
  </si>
  <si>
    <t>1-2302 Coffee Cess</t>
  </si>
  <si>
    <t>1-2311 Fruits &amp; Vegetables / Produce Cess</t>
  </si>
  <si>
    <t>1-2314 Log Cess</t>
  </si>
  <si>
    <t>1-2501 Ground Rent - Current Year</t>
  </si>
  <si>
    <t>1-3103 Plot Transfer Fee</t>
  </si>
  <si>
    <t>1-3105 Miscellenous income</t>
  </si>
  <si>
    <t>1-3106 Isolation Fee (Surcharge on Business Permit)</t>
  </si>
  <si>
    <t>1-3201 Ambulant Hawkers Licences (Other than BSS Permits)</t>
  </si>
  <si>
    <t>1-3203 Impounding Charges</t>
  </si>
  <si>
    <t>1-3301 Sand, Gravel, and Ballast Extraction Fees</t>
  </si>
  <si>
    <t>1-3302 Quarry Extraction Fees</t>
  </si>
  <si>
    <t>1-3501 County Premises Monthly Rent (Offices, etc.)</t>
  </si>
  <si>
    <t>1-5101 Market Entrance / Gate Fee</t>
  </si>
  <si>
    <t>1-5102 Market Plots Rent</t>
  </si>
  <si>
    <t>1-5103 Market Shops Rent</t>
  </si>
  <si>
    <t>1-5104 Market Kiosks Rent</t>
  </si>
  <si>
    <t>1-5105 Market Stalls Rent</t>
  </si>
  <si>
    <t>1-5201 Enclosed Bus Park Fee</t>
  </si>
  <si>
    <t>1-5211 Other Vehicles Enclosed Park Fees (Cars, Lorries, etc.)</t>
  </si>
  <si>
    <t>1-5221 Street Parking Fee</t>
  </si>
  <si>
    <t>1-5225 Clamping Fine</t>
  </si>
  <si>
    <t>1-5226 Towing Fine</t>
  </si>
  <si>
    <t>1-5227 Storage Fee</t>
  </si>
  <si>
    <t>1-5228 Clamping Tampering Fee</t>
  </si>
  <si>
    <t>1-6301 Social Hall Hire</t>
  </si>
  <si>
    <t>1-6311 Stadium Hire</t>
  </si>
  <si>
    <t>1-8301 Refuse Collection Fee</t>
  </si>
  <si>
    <t>1-8401 Slaughtering Fee</t>
  </si>
  <si>
    <t>1-8402 Hides &amp; Skins Fee</t>
  </si>
  <si>
    <t>1-9101 Beacon Search Pointing Fee</t>
  </si>
  <si>
    <t>1-9102 Survey Fee</t>
  </si>
  <si>
    <t>1-9112 Buildings Plan Approval Fee</t>
  </si>
  <si>
    <t>1-9113 Buildings Inspection Fee</t>
  </si>
  <si>
    <t>1-9132 Sign Boards &amp; Advertisement Fee</t>
  </si>
  <si>
    <t>1-9201 Fire-Compliance Fee</t>
  </si>
  <si>
    <t>Revenue from Kisii Agricultural Training Centre</t>
  </si>
  <si>
    <t>Devolved function revenues</t>
  </si>
  <si>
    <t>REVENUE</t>
  </si>
  <si>
    <t>TOTAL OPERATIONS AND MAINTENANCE</t>
  </si>
  <si>
    <t>RECURRENT</t>
  </si>
  <si>
    <t xml:space="preserve"> DEVELOPMENT</t>
  </si>
  <si>
    <t>COUNTY ADMINISTRATION</t>
  </si>
  <si>
    <t>COUNTY PUBLIC SERVICE</t>
  </si>
  <si>
    <t>FINANCE AND ECONOMIC PLANNING</t>
  </si>
  <si>
    <t>AGRICULTURE</t>
  </si>
  <si>
    <t xml:space="preserve">ENVIRONMENT </t>
  </si>
  <si>
    <t>HEALTH</t>
  </si>
  <si>
    <t>LAND, PHYSICAL PLANNING AND URBAN DEVELOPMENT</t>
  </si>
  <si>
    <t>PUBLIC WORKS AND TRANSPORT</t>
  </si>
  <si>
    <t>CULTURE AND SOCIAL SERVICES</t>
  </si>
  <si>
    <t>KISII COUNTY GOVERNMENT</t>
  </si>
  <si>
    <t>PERSONNEL BUDGET</t>
  </si>
  <si>
    <t>FINANCIAL YEAR 2017/ 2018</t>
  </si>
  <si>
    <t>NO OF EMPLOYEES</t>
  </si>
  <si>
    <t>BASIC SALARY</t>
  </si>
  <si>
    <t>HOUSE ALLOWANCE</t>
  </si>
  <si>
    <t>COMMUTER</t>
  </si>
  <si>
    <t>SPECIAL DUTY ALLOWANCE</t>
  </si>
  <si>
    <t>RESPONSIBILTY ALLOWANCE</t>
  </si>
  <si>
    <t>HEALTH RISK ALLOWANCE</t>
  </si>
  <si>
    <t>UNIFORM ALLOWANCE</t>
  </si>
  <si>
    <t>EMERGECY CALL ALLOWANCE</t>
  </si>
  <si>
    <t>OTHER ALLOWANCES</t>
  </si>
  <si>
    <t>EXTRANEOUS ALLOWANCE</t>
  </si>
  <si>
    <t>NON PRACTISING ALLOWANCE</t>
  </si>
  <si>
    <t>ACTING ALLOWANCE</t>
  </si>
  <si>
    <t>TELEPHONE ALLOWANCE</t>
  </si>
  <si>
    <t>GRATUITY</t>
  </si>
  <si>
    <t>COUNTY CONTRIBUTION TO PENSION</t>
  </si>
  <si>
    <t>LEAVE ALLOWANCE</t>
  </si>
  <si>
    <t>TOTAL ANNUAL PERSONEL BUDGET</t>
  </si>
  <si>
    <t xml:space="preserve">IN PAYROLL </t>
  </si>
  <si>
    <t xml:space="preserve">NOT IN PAYROLL </t>
  </si>
  <si>
    <t xml:space="preserve">SUB-TOTAL </t>
  </si>
  <si>
    <t>Instructors to be absorbed from  national govt</t>
  </si>
  <si>
    <t>New employees (ECD and polytechnic instructors)</t>
  </si>
  <si>
    <t>DANIDA Personnel Costs</t>
  </si>
  <si>
    <t>GRAND TOTAL</t>
  </si>
  <si>
    <t>DEVELOPMENT BUDGET</t>
  </si>
  <si>
    <t>SUB TOTAL</t>
  </si>
  <si>
    <t>PROJECTS SUMMARY</t>
  </si>
  <si>
    <t>KISII COUNTY ASSEMBLY</t>
  </si>
  <si>
    <t>COUNTY  ADMINISTRATION</t>
  </si>
  <si>
    <t>ADMINISTRATION,  ENFORCEMENT AND DEVOLVED UNITS</t>
  </si>
  <si>
    <t>STAKEHOLDER MANAGEMENT, PUBLIC PARTICIPATION AND DISASTER SERVICES</t>
  </si>
  <si>
    <t>AGRICULTURE AND COOPERATIVES DEVELOPMENT</t>
  </si>
  <si>
    <t>ENERGY,ENVIRONMENT  AND NATURAL RESOURCES</t>
  </si>
  <si>
    <t>EDUCATION, LABOUR AND MANPOWER DEVELOPMENT</t>
  </si>
  <si>
    <t>PUBLIC HEALTH AND PREVENTIVE SERVICES</t>
  </si>
  <si>
    <t>TRADE, INDUSTRY AND TOURISM DEVELOPMENT</t>
  </si>
  <si>
    <t>CULTURE, SPORTS, YOUTH AND SOCIAL SERVICES</t>
  </si>
  <si>
    <t>Employers Contribution to Staff Pensions Scheme</t>
  </si>
  <si>
    <t>Purchase of Furniture and Fittings</t>
  </si>
  <si>
    <t>Purchase of Computers and ICT Equipment</t>
  </si>
  <si>
    <t>County Emergency Fund</t>
  </si>
  <si>
    <t>Purchase of other Office Equipment</t>
  </si>
  <si>
    <t>Car Loan and Mortgage</t>
  </si>
  <si>
    <t>Tuition fee allowance</t>
  </si>
  <si>
    <t>Advertising,Awareness and Publicity campaigns</t>
  </si>
  <si>
    <t>LANDS, PHYSICAL PLANNING AND DEVELOPMENT</t>
  </si>
  <si>
    <t>Development</t>
  </si>
  <si>
    <t>Recurrent</t>
  </si>
  <si>
    <t>PE</t>
  </si>
  <si>
    <t>FINANCE AND ACCOUNTING</t>
  </si>
  <si>
    <t>LANDS, PHYSICAL PLANNING AND URBAN DEVELOPMENT</t>
  </si>
  <si>
    <t>SURPLUS/DEFICIT</t>
  </si>
  <si>
    <t xml:space="preserve">Building Insurance </t>
  </si>
  <si>
    <t>Advertisement, Awareness and Publicity Campaigns</t>
  </si>
  <si>
    <t>Tuition Fee Allowance</t>
  </si>
  <si>
    <t>Commissions</t>
  </si>
  <si>
    <t>Specialized Materials and Supplies</t>
  </si>
  <si>
    <t>Purchase of Uniforms and Clothing-Staff</t>
  </si>
  <si>
    <t>Purchase of office furniture and Fittings</t>
  </si>
  <si>
    <t>Refurbishment of Buildings-Non residential</t>
  </si>
  <si>
    <t>Purchase of Motor Vehicle</t>
  </si>
  <si>
    <t>Legal Dues/Fees, Arbitration and Compensation Payments</t>
  </si>
  <si>
    <t>Purchase of computers, Printers and ICT Equipment</t>
  </si>
  <si>
    <t>Refurbishment of Non-Residential Buildings</t>
  </si>
  <si>
    <t xml:space="preserve">Training Allowance </t>
  </si>
  <si>
    <t>Purchase of Exchanges and other Communications Equipment</t>
  </si>
  <si>
    <t>Trainer Allowance (Paramilitary Training of Enforcement Officer)</t>
  </si>
  <si>
    <t>Rents and Rates (Ward Offices)</t>
  </si>
  <si>
    <t>Trainer Allowance (Paramilitary Training of Sub- County &amp; Ward Officers)</t>
  </si>
  <si>
    <t>Purchase of Uniforms and Clothing - Staff (Sub County &amp; Ward officers)</t>
  </si>
  <si>
    <t>Purchase of Uniforms and Clothing - Staff (Firefighting Officers)</t>
  </si>
  <si>
    <t>Fire Fighting Equipment Assorted</t>
  </si>
  <si>
    <t>Rehabilitation of Fire Hydrants</t>
  </si>
  <si>
    <t>Refilling of fire extinguishers</t>
  </si>
  <si>
    <t>Contracted Guards and Cleaning Services (Kisii Security Services)</t>
  </si>
  <si>
    <t>PERSONEL EMOLUMENTS</t>
  </si>
  <si>
    <t>Basic Salaries</t>
  </si>
  <si>
    <t>Commuter Allowances</t>
  </si>
  <si>
    <t>Sitting Allowance</t>
  </si>
  <si>
    <t>Telephone Allowances</t>
  </si>
  <si>
    <t>Gratuity/Pension</t>
  </si>
  <si>
    <t>Domestic Travel and Subsistence, and Other Transportation costs</t>
  </si>
  <si>
    <t>National Celebrations/KICOSCA Games</t>
  </si>
  <si>
    <t>Refined Fuels and Lubricants --Other</t>
  </si>
  <si>
    <t>Legal Fees</t>
  </si>
  <si>
    <t>Ward Office Expenses</t>
  </si>
  <si>
    <t>Purchase of Specialised Plant, Equipment and Machinery</t>
  </si>
  <si>
    <t>Modern Library , ICT Centre Store and Procurement Offices</t>
  </si>
  <si>
    <t>DEVELOPMENT TOTAL</t>
  </si>
  <si>
    <t>Urban Institutional Grant</t>
  </si>
  <si>
    <t>Leased Communication Equipment and Services</t>
  </si>
  <si>
    <t>Travel costs Airline, bus , railway, milage allowances etc)</t>
  </si>
  <si>
    <t>Accommodation- Domestic Travel</t>
  </si>
  <si>
    <t>Kenya Devolution Support Program 'Starter Pack' - ( Level 1)</t>
  </si>
  <si>
    <t>Kenya Devolution Support Program 'Starter Pack' - ( Level 11)</t>
  </si>
  <si>
    <t>Remuneration of instructors and contract based training</t>
  </si>
  <si>
    <t>Accomodation Allowance</t>
  </si>
  <si>
    <t>Field operational Allowances</t>
  </si>
  <si>
    <t>Agriculture Sector Development Support Program - SIDA</t>
  </si>
  <si>
    <t>European Union Instruments for Devolution Advice and Support</t>
  </si>
  <si>
    <t>Publishing and Printing services</t>
  </si>
  <si>
    <t>PROPOSED BUDGET 2019/2020</t>
  </si>
  <si>
    <t>KISII MUNICIPALITY</t>
  </si>
  <si>
    <t xml:space="preserve">            Motorcycle parking stickers</t>
  </si>
  <si>
    <t>3110701</t>
  </si>
  <si>
    <t>2210712</t>
  </si>
  <si>
    <t>3111002</t>
  </si>
  <si>
    <t>Purchase of Computers, Printers and other IT Equipment</t>
  </si>
  <si>
    <t>LANDS AND URBAN DEVELOPMENT</t>
  </si>
  <si>
    <t>2110404</t>
  </si>
  <si>
    <t>Leave Expenses</t>
  </si>
  <si>
    <t>Hire of plant and machinery</t>
  </si>
  <si>
    <t>Solid waste management across subcounties</t>
  </si>
  <si>
    <t>Purchase of office furniture and fittings</t>
  </si>
  <si>
    <t>Purchase of motor 2 cycles</t>
  </si>
  <si>
    <t>Contracted Technical Services (EIA)/KUSP</t>
  </si>
  <si>
    <t>Minor Alteration to building and civil works</t>
  </si>
  <si>
    <t>Maintenance of other Civil Works(Street light)</t>
  </si>
  <si>
    <t>CULTURE, SPORTS,  YOUTH AND SOCIAL SERVICES</t>
  </si>
  <si>
    <t>National Celebrations (World AIDS Day, Disability Day, World Women Day,etc)</t>
  </si>
  <si>
    <t>Purchase of computer, printers and ICT equipment</t>
  </si>
  <si>
    <t>Purchase of furniture and  fittings</t>
  </si>
  <si>
    <t>Medals, Awards and Honours</t>
  </si>
  <si>
    <t>Purchase of Sports Equipment and Uniforms</t>
  </si>
  <si>
    <t>2210309</t>
  </si>
  <si>
    <t>Field Allowance</t>
  </si>
  <si>
    <t>2210310</t>
  </si>
  <si>
    <t>Field Operational Allowance</t>
  </si>
  <si>
    <t>2210606</t>
  </si>
  <si>
    <t>Hire of Equipment, Plant and Machinery</t>
  </si>
  <si>
    <t>2211006</t>
  </si>
  <si>
    <t>Purchase of Workshop Tools, Spares and Small Equipment</t>
  </si>
  <si>
    <t>2211308</t>
  </si>
  <si>
    <t>Legal Dues/fees, Arbitration and Compensation Payments</t>
  </si>
  <si>
    <t>KISII MUNICIPAL BOARD</t>
  </si>
  <si>
    <t>Hire of training facilities and Equipment</t>
  </si>
  <si>
    <t>Production and Printng of Training Materials</t>
  </si>
  <si>
    <t>Purchase of office Furniture</t>
  </si>
  <si>
    <t>Purchase of Office equipment</t>
  </si>
  <si>
    <t>Purchase of computers and ICT</t>
  </si>
  <si>
    <t>Contracted Technical Services (Urban Planning)</t>
  </si>
  <si>
    <t>Purchase of Computers and ICT equipments</t>
  </si>
  <si>
    <t>2220204</t>
  </si>
  <si>
    <t>Maintenance of Buildings -- Residential</t>
  </si>
  <si>
    <t>Maintenance of Civil Works (Service Bay)</t>
  </si>
  <si>
    <t>Field Allowances( Surveying and Mapping of Roads)</t>
  </si>
  <si>
    <t>Purchase of workshop tools, Spares and small Equipment</t>
  </si>
  <si>
    <t>2211202</t>
  </si>
  <si>
    <t>Refined Fuels and Lubricants for Production</t>
  </si>
  <si>
    <t>Contracted Guards and Cleaning Services (Casual guards)</t>
  </si>
  <si>
    <t>2210506</t>
  </si>
  <si>
    <t>Promotion and Exhibition</t>
  </si>
  <si>
    <t>Total</t>
  </si>
  <si>
    <t>Advertising, Awareness and Publicity Campaigns(Tourism Promotion)</t>
  </si>
  <si>
    <t>Training Fee Allowance</t>
  </si>
  <si>
    <t>Purchase of computers and ICT Equipment</t>
  </si>
  <si>
    <t>Co-curriculum Activities for ECDE Sports and Drama festivals</t>
  </si>
  <si>
    <t>2210807</t>
  </si>
  <si>
    <t>Prize giving (gifts, certificates and Governors presents)</t>
  </si>
  <si>
    <t>VET ICT CENTRES</t>
  </si>
  <si>
    <t>Purchase of Office Furniture</t>
  </si>
  <si>
    <t>2211309</t>
  </si>
  <si>
    <t>Temporary Committees Expenses</t>
  </si>
  <si>
    <t>Bursary Fund</t>
  </si>
  <si>
    <t>2211324</t>
  </si>
  <si>
    <t>Donations school support programme</t>
  </si>
  <si>
    <t>Quality assurance services; Inspection of schools</t>
  </si>
  <si>
    <t>2110315</t>
  </si>
  <si>
    <t>Extraneous Allowance</t>
  </si>
  <si>
    <t>2110318</t>
  </si>
  <si>
    <t>Non- Practicing Allowance</t>
  </si>
  <si>
    <t>Uniform and Clothing Allowances</t>
  </si>
  <si>
    <t>Emergency call allowance</t>
  </si>
  <si>
    <t>Rents and Rates - Residential</t>
  </si>
  <si>
    <t>2211001</t>
  </si>
  <si>
    <t>Medical Drugs</t>
  </si>
  <si>
    <t>2211002</t>
  </si>
  <si>
    <t>Dressings and Other Non-Pharmaceutical Medical Items</t>
  </si>
  <si>
    <t>AMBULANCE SERVICES</t>
  </si>
  <si>
    <t>KISII CANCER CENTER</t>
  </si>
  <si>
    <t>Conditional Grants</t>
  </si>
  <si>
    <t>Health systems for universal care</t>
  </si>
  <si>
    <t>DANIDA</t>
  </si>
  <si>
    <t>2220203</t>
  </si>
  <si>
    <t>Maintenance of Medical and Dental Equipment</t>
  </si>
  <si>
    <t>2211026</t>
  </si>
  <si>
    <t>Purchase of Vaccines and Sera</t>
  </si>
  <si>
    <t>TRADE, INDUSTRY AND TOURISM</t>
  </si>
  <si>
    <t>Field Operational Allowances</t>
  </si>
  <si>
    <t>Purchase of survey equipments</t>
  </si>
  <si>
    <t>Feasibility and pre-feasibility studies</t>
  </si>
  <si>
    <t>Purchase of Computers  and ICT Equipment</t>
  </si>
  <si>
    <t>DRILLING RIG OPERATING EXPENSES</t>
  </si>
  <si>
    <t>2220213</t>
  </si>
  <si>
    <t>Maintenance of Civil Works Equipment</t>
  </si>
  <si>
    <t>ENERGY, ENVIROMENT AND NATURAL RESOURCES</t>
  </si>
  <si>
    <t>Field operational Allowances (Environment)</t>
  </si>
  <si>
    <t>Purchase of Motor vehicle (for the department of Environment)</t>
  </si>
  <si>
    <t>Cleaning of Rivers</t>
  </si>
  <si>
    <t>Purchase of Motor vehicle</t>
  </si>
  <si>
    <t>Purchase of Other Office Equipment - Container</t>
  </si>
  <si>
    <t>World water day celebrations Nile day</t>
  </si>
  <si>
    <t>PROJECT NAME</t>
  </si>
  <si>
    <t>PROJECT LOCATION</t>
  </si>
  <si>
    <t>Construction of Governor's Residence</t>
  </si>
  <si>
    <t>Kisii Town</t>
  </si>
  <si>
    <t xml:space="preserve"> TOTAL COUNTY EXECUTIVE</t>
  </si>
  <si>
    <t>ADMINISTRATION,AND STAKEHOLDER MANAGEMENT</t>
  </si>
  <si>
    <t>ADMINISTRATION, ENFORCEMENT AND DEVOLVED UNITS</t>
  </si>
  <si>
    <t>Completion of ward offices</t>
  </si>
  <si>
    <t>3110202</t>
  </si>
  <si>
    <t>Nyatieko</t>
  </si>
  <si>
    <t>Bassi Central</t>
  </si>
  <si>
    <t>Bomariba</t>
  </si>
  <si>
    <t>Bomorenda</t>
  </si>
  <si>
    <t>Kegogi</t>
  </si>
  <si>
    <t>Magenche</t>
  </si>
  <si>
    <t>Boochi Borabu</t>
  </si>
  <si>
    <t>Riana</t>
  </si>
  <si>
    <t>Chitago Borabu</t>
  </si>
  <si>
    <t>Sengera Bosoti</t>
  </si>
  <si>
    <t>Kitutu Central</t>
  </si>
  <si>
    <t>Kisii Central</t>
  </si>
  <si>
    <t>Completion of Sub-County Headquarter Offices</t>
  </si>
  <si>
    <t xml:space="preserve">Kitutu Chache South  </t>
  </si>
  <si>
    <t>Kitutu Chache North</t>
  </si>
  <si>
    <t>Purchase of Household and Instutution appliances (Thunder Arrestors)</t>
  </si>
  <si>
    <t>Completion of County Court</t>
  </si>
  <si>
    <t>Completion of Pit latrines at Ward Offices</t>
  </si>
  <si>
    <t>Completion of Pit latrines</t>
  </si>
  <si>
    <t>Machoge Bassi</t>
  </si>
  <si>
    <t>Sensi</t>
  </si>
  <si>
    <t>Monyerero</t>
  </si>
  <si>
    <t>Bobaracho</t>
  </si>
  <si>
    <t>Ichuni</t>
  </si>
  <si>
    <t>Gesusu</t>
  </si>
  <si>
    <t>Completion of Pit latrines at County Attorney office</t>
  </si>
  <si>
    <t>Moticho</t>
  </si>
  <si>
    <t>Tabaka</t>
  </si>
  <si>
    <t>Purchase of Fire Engine (10,000 litres water capacity)</t>
  </si>
  <si>
    <t xml:space="preserve">TOTAL COUNTY ADMINISTRATION </t>
  </si>
  <si>
    <t>SUB-TOTAL</t>
  </si>
  <si>
    <t>Purchase of software(IDEA and TEAMMATE)</t>
  </si>
  <si>
    <t>Expansion of Communication System and deployment of team collaboration platform</t>
  </si>
  <si>
    <t>AGRICULTURE, LIVESTOCK, FISHERIES AND CO-OPERATIVE DEVELOPMENT</t>
  </si>
  <si>
    <t>EUROPEAN UNION INSTRUMENTS FOR DEVOLUTION ADVISE AND SUPPORT (IDEAS)</t>
  </si>
  <si>
    <t>EU Instruments  for Devolution Advise &amp; Support (Banana value chain)</t>
  </si>
  <si>
    <t>EU IDEAS (County Government's contribution)</t>
  </si>
  <si>
    <t>Agricultural Sector Development Support Project (ASDSP) county contribution</t>
  </si>
  <si>
    <t>Agricultural Sector Development Support Project SIDA contribution</t>
  </si>
  <si>
    <t>CROP DEVELOPMENT</t>
  </si>
  <si>
    <t>Construction of Cereal Depot</t>
  </si>
  <si>
    <t>Nyamarambe</t>
  </si>
  <si>
    <t>Supply of banana tissue culture suckers</t>
  </si>
  <si>
    <t xml:space="preserve">Installation of Green Houses </t>
  </si>
  <si>
    <t>Other infrastructure and civil works-Operationalizing of SHoMaP markets</t>
  </si>
  <si>
    <t>KISII -ATC</t>
  </si>
  <si>
    <t>Sinking of water borehole and reticulation</t>
  </si>
  <si>
    <t xml:space="preserve">Completion of hostels phase II </t>
  </si>
  <si>
    <t>Fencing</t>
  </si>
  <si>
    <t>AGRIBUSINESS &amp; VALUE ADDITION</t>
  </si>
  <si>
    <t>Completion of avocado factory(phase 2)</t>
  </si>
  <si>
    <t>KATC</t>
  </si>
  <si>
    <t>TOTAL AGRICULTURE AND CO-OPERATIVE DEVELOPMENT</t>
  </si>
  <si>
    <t>LIVESTOCK, FISHERIES AND VETERINARY SERVICES</t>
  </si>
  <si>
    <t>NATIONAL AGRICULTURAL AND RURAL INCLUSIVE GROWTH PROJECT</t>
  </si>
  <si>
    <t>National Agricultural and Rural inclusive growth project(WB)</t>
  </si>
  <si>
    <t>National Agricultural and Rural inclusive growth project(County Government's contribution)</t>
  </si>
  <si>
    <t>FISHERIES</t>
  </si>
  <si>
    <t>Completion of Training hall</t>
  </si>
  <si>
    <t>All 45 wards</t>
  </si>
  <si>
    <t>Purchase of cold storage equipment at fish market</t>
  </si>
  <si>
    <t>Purchase of Aqua-feeds</t>
  </si>
  <si>
    <t>Completion of Fish Markets and Cold Storage Facility</t>
  </si>
  <si>
    <t>Kisii Market</t>
  </si>
  <si>
    <t>Construction of Fish multiplication centre</t>
  </si>
  <si>
    <t>Bonchari</t>
  </si>
  <si>
    <t xml:space="preserve">VETERINARY  </t>
  </si>
  <si>
    <t>Artificial Insemination Programme</t>
  </si>
  <si>
    <t>Disease control</t>
  </si>
  <si>
    <t>Renovations of slaughter house</t>
  </si>
  <si>
    <t>Kisii Town main slaughter</t>
  </si>
  <si>
    <t>Fencing of slaugher house phase 3</t>
  </si>
  <si>
    <t>Veterinary  Public Health</t>
  </si>
  <si>
    <t>LIVESTOCK PRODUCTION</t>
  </si>
  <si>
    <t>Local chicken commercialization project</t>
  </si>
  <si>
    <t>Purchase of milk coolers</t>
  </si>
  <si>
    <t>TOTAL LIVESTOCK, FISHERIES AND VETERINARY SERVICES</t>
  </si>
  <si>
    <t>ENVIRONMENT</t>
  </si>
  <si>
    <t xml:space="preserve">Tree Planting </t>
  </si>
  <si>
    <t>in 45 Wards</t>
  </si>
  <si>
    <t>Establishment of tree nursaries</t>
  </si>
  <si>
    <t>3111504</t>
  </si>
  <si>
    <t xml:space="preserve">Construction of peoples park </t>
  </si>
  <si>
    <t>ENERGY</t>
  </si>
  <si>
    <t>Construction of Green Energy Demonstration Centres</t>
  </si>
  <si>
    <t>Sub-counties</t>
  </si>
  <si>
    <t>Purchase of Transformers for Energy reticulation</t>
  </si>
  <si>
    <t>TOTAL ENERGY, ENVIRONMENT AND NATURAL RESOURCES</t>
  </si>
  <si>
    <r>
      <t>Purchase and installation of 2 No. 10M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storage tanks per ward</t>
    </r>
  </si>
  <si>
    <t>3111115</t>
  </si>
  <si>
    <t>Purchase of Drilling Rig and other equipment</t>
  </si>
  <si>
    <t xml:space="preserve">Water schemes </t>
  </si>
  <si>
    <t>Bokimonge</t>
  </si>
  <si>
    <t>Marani</t>
  </si>
  <si>
    <t xml:space="preserve">Drilling of Boreholes </t>
  </si>
  <si>
    <t>Spring protection</t>
  </si>
  <si>
    <t>TOTAL WATER AND SANITATION SERVICES</t>
  </si>
  <si>
    <t>EARLY CHILDHOOD DEVELOPMENT</t>
  </si>
  <si>
    <t>Construction of  ECDE Classrooms</t>
  </si>
  <si>
    <t>Boochi Tendere</t>
  </si>
  <si>
    <t>Construction of  pit latrines at ECDE centres( 2 per ward)</t>
  </si>
  <si>
    <t>Purchase of  Teaching and Learning  Materials</t>
  </si>
  <si>
    <t>YOUTH POLYTECHNIC</t>
  </si>
  <si>
    <t>Construction of Hostels for Youth Polytechnics</t>
  </si>
  <si>
    <t>Conditional share to Development of Youth Polytechnics</t>
  </si>
  <si>
    <t>SUB -TOTAL</t>
  </si>
  <si>
    <t>TOTAL EDUCATION</t>
  </si>
  <si>
    <t>COUNTY HEALTH SERVICES</t>
  </si>
  <si>
    <t>Ogembo Level 4 Hospital Infrastructure Development</t>
  </si>
  <si>
    <t>Construction of Mortuary</t>
  </si>
  <si>
    <t>Construction of Kitchen</t>
  </si>
  <si>
    <t xml:space="preserve">Purchase of medical equipment </t>
  </si>
  <si>
    <t>Marani Level 4 Infrastructure Development</t>
  </si>
  <si>
    <t>Construction of Casualty/Theatre Block</t>
  </si>
  <si>
    <t>Construction of Doctors' Library</t>
  </si>
  <si>
    <t>Construction of Nyansanga Dispensary (Completion of OPD)</t>
  </si>
  <si>
    <t>Completion of Nyamatwoni Dispensary OPD Block</t>
  </si>
  <si>
    <t xml:space="preserve">Completion of Entake Health Centre Maternity </t>
  </si>
  <si>
    <t>Completion of Tongeri Dispensary</t>
  </si>
  <si>
    <t>Construction of Pit Latrine &amp; Gate at Nyagoto Dispensary</t>
  </si>
  <si>
    <t>Completion of Sieka Dispensary OPD Block</t>
  </si>
  <si>
    <t>Completion of Ikoba Dispensary OPD Block</t>
  </si>
  <si>
    <t>Construction of Nyakeyo Dispensary</t>
  </si>
  <si>
    <t>Completion of OPD at Magena Health Centre</t>
  </si>
  <si>
    <t>Completion of OPD at Itembu Dispensary</t>
  </si>
  <si>
    <t>Completion of Motuary at Gesusu Sub County Hospital</t>
  </si>
  <si>
    <t>Completion of OPD at Kiobonyo Dispensary</t>
  </si>
  <si>
    <t>Construction of Riosoti Dispensary</t>
  </si>
  <si>
    <t>Construction of Staff House Giatunda Health Centre</t>
  </si>
  <si>
    <t>Completion of OPD at Gesabakwa Rikendo</t>
  </si>
  <si>
    <t>Bombaba</t>
  </si>
  <si>
    <t>Construction of Eramba Dispenasry</t>
  </si>
  <si>
    <t>Completion of maternity at Keragia Dispensary</t>
  </si>
  <si>
    <t>Completion of Kiamokama Health Centre</t>
  </si>
  <si>
    <t>Rehabilitation of medical equipment</t>
  </si>
  <si>
    <t>Leasing of Medical Equipment(MES)</t>
  </si>
  <si>
    <t xml:space="preserve">Conditional share Kisii Level 5 </t>
  </si>
  <si>
    <t>LANDS, PHYSICAL PLANNING &amp; URBAN DEVELOPMENT</t>
  </si>
  <si>
    <t>Intergrated Strategic Urban Development Plan</t>
  </si>
  <si>
    <t>Ogembo</t>
  </si>
  <si>
    <t xml:space="preserve">Preparation of Physical Development Plans for Urban Centres </t>
  </si>
  <si>
    <t xml:space="preserve">Masimba </t>
  </si>
  <si>
    <t>Mosocho</t>
  </si>
  <si>
    <t>3110401</t>
  </si>
  <si>
    <t>URBAN ROADS</t>
  </si>
  <si>
    <t>Nyangena Hospital Access Road</t>
  </si>
  <si>
    <t>Daraja Mbili Medical Centre Access Road</t>
  </si>
  <si>
    <t>Construction of  backstreet in Suneka Town</t>
  </si>
  <si>
    <t>Kenyenya - Poster Road</t>
  </si>
  <si>
    <t>Marani hospital - Filling station backstreet</t>
  </si>
  <si>
    <t>Drainage Works</t>
  </si>
  <si>
    <t>Keroka Town</t>
  </si>
  <si>
    <t>Purchase of Waste Management Site</t>
  </si>
  <si>
    <t>Purchase of plant and machinery</t>
  </si>
  <si>
    <t>Construction of Bus Parks</t>
  </si>
  <si>
    <t>Construction of Nyansaga Bridge</t>
  </si>
  <si>
    <t>Construction of Office at Headquarters</t>
  </si>
  <si>
    <t>TOTAL ROADS AND PUBLIC WORKS</t>
  </si>
  <si>
    <t>Trade Credit Scheme-Continuous facilitation of SMEs through cheaper credit</t>
  </si>
  <si>
    <t>TOTAL TRADE</t>
  </si>
  <si>
    <t>3110599</t>
  </si>
  <si>
    <t xml:space="preserve">Completion of Libraries </t>
  </si>
  <si>
    <t>Sameta</t>
  </si>
  <si>
    <t>Civil works and infrastructure development</t>
  </si>
  <si>
    <t xml:space="preserve">Completion of Stadia </t>
  </si>
  <si>
    <t>Disability Fund (PWD's)</t>
  </si>
  <si>
    <t>Affirmative Fund</t>
  </si>
  <si>
    <t>Youth Development Fund</t>
  </si>
  <si>
    <t>TOTAL CULTURE AND SOCIAL SERVICES</t>
  </si>
  <si>
    <t>Sub total</t>
  </si>
  <si>
    <t>Kisii Municipality</t>
  </si>
  <si>
    <t>Sub-total</t>
  </si>
  <si>
    <t>TOTAL DEVELOPMENT BUDGET</t>
  </si>
  <si>
    <t>REVENUE BUDGET FOR FY2019/2020</t>
  </si>
  <si>
    <t>ITEM</t>
  </si>
  <si>
    <t>SUMMARY OF RECURRENT AND DEVELOPMENT EXPENDITURE</t>
  </si>
  <si>
    <t>Purchase of a motor vehice ( for field officers)</t>
  </si>
  <si>
    <t>Contracted Technical Services (Feasibility Study for Tourism Hub)</t>
  </si>
  <si>
    <t>OFFICE OF THE GOVERNOR AND DEPUTY GOVERNOR(COUNTY SECRETARY, PUBLIC SERVICE BOARD)</t>
  </si>
  <si>
    <t>Compensation of Employees</t>
  </si>
  <si>
    <t>Use of Goods and Services</t>
  </si>
  <si>
    <t>General Administration, Planning and Support Services</t>
  </si>
  <si>
    <t>County Secretary</t>
  </si>
  <si>
    <t>Legal Services</t>
  </si>
  <si>
    <t>Advisory Services</t>
  </si>
  <si>
    <t>Public Private Partnership</t>
  </si>
  <si>
    <t>Special Programmes</t>
  </si>
  <si>
    <t>Communication Services</t>
  </si>
  <si>
    <t>Total for General Administration, Planning and Support Services</t>
  </si>
  <si>
    <t>Total for Public Private Partnership</t>
  </si>
  <si>
    <t>Total for Special Programmes</t>
  </si>
  <si>
    <t>Total for Communication Services</t>
  </si>
  <si>
    <t>Total for Legal Services</t>
  </si>
  <si>
    <t>County Public Service Board</t>
  </si>
  <si>
    <t>Total for County Public Service Board</t>
  </si>
  <si>
    <t>Administration, Enforcement and Devolved Services</t>
  </si>
  <si>
    <t>Devolved Services</t>
  </si>
  <si>
    <t>Human Resource Services</t>
  </si>
  <si>
    <t>Enforcement Services</t>
  </si>
  <si>
    <t>Devolution Conference</t>
  </si>
  <si>
    <t>Stakeholder Management</t>
  </si>
  <si>
    <t>Public Participation and Civic Education</t>
  </si>
  <si>
    <t>Disaster Management and Rescue Services</t>
  </si>
  <si>
    <t>Total Stakeholder Management</t>
  </si>
  <si>
    <t>Public Financial Management</t>
  </si>
  <si>
    <t>Internal Audit Services</t>
  </si>
  <si>
    <t>Procurement Services</t>
  </si>
  <si>
    <t>Revenue Mobilization and Management</t>
  </si>
  <si>
    <t>Total for Revenue Mobilization and Management</t>
  </si>
  <si>
    <t>Total for Audit Services</t>
  </si>
  <si>
    <t>Total for Public Financial Management</t>
  </si>
  <si>
    <t>County Planning Services</t>
  </si>
  <si>
    <t>Budget Formulation, Coordination and Management</t>
  </si>
  <si>
    <t>Economic Planning</t>
  </si>
  <si>
    <t>Monitoring and Evaluation</t>
  </si>
  <si>
    <t>ICT Services</t>
  </si>
  <si>
    <t>Total for Monitoring and Evaluation</t>
  </si>
  <si>
    <t>Total for Economic Planning</t>
  </si>
  <si>
    <t>Kenya Devolution Support Program (Administrative Costs)</t>
  </si>
  <si>
    <t>Total Budget Formulation, Coordination and Management</t>
  </si>
  <si>
    <t>Veterinary Services</t>
  </si>
  <si>
    <t>Livestock Development</t>
  </si>
  <si>
    <t>Agriculture Training Centre (ATC)</t>
  </si>
  <si>
    <t>Co-operative Development</t>
  </si>
  <si>
    <t>Crop Development and Value Addition</t>
  </si>
  <si>
    <t>Total for Co-operative Development</t>
  </si>
  <si>
    <t>Energy Services</t>
  </si>
  <si>
    <t>Water Services and Sanitation</t>
  </si>
  <si>
    <t>Land Use Services</t>
  </si>
  <si>
    <t>Urban Development</t>
  </si>
  <si>
    <t>Medical Services</t>
  </si>
  <si>
    <t>Public Health Services</t>
  </si>
  <si>
    <t>Roads Development</t>
  </si>
  <si>
    <t>Housing Services</t>
  </si>
  <si>
    <t>Public Works</t>
  </si>
  <si>
    <t>Tourism Development</t>
  </si>
  <si>
    <t>Weights and Measures</t>
  </si>
  <si>
    <t>Liquor Licencing</t>
  </si>
  <si>
    <t>Betting and Gaming</t>
  </si>
  <si>
    <t>11202</t>
  </si>
  <si>
    <t>11203</t>
  </si>
  <si>
    <t>11204</t>
  </si>
  <si>
    <t>11205</t>
  </si>
  <si>
    <t>Total for Tourism Development</t>
  </si>
  <si>
    <t>Total for Weights and Measures</t>
  </si>
  <si>
    <t>Total for Liquor Licencing</t>
  </si>
  <si>
    <t>Total for Betting and Gaming</t>
  </si>
  <si>
    <t>Infrastructure Development</t>
  </si>
  <si>
    <t>Total for Infrastructure Development</t>
  </si>
  <si>
    <t>Cultural Services(Council of Elders and Cultural Activities)</t>
  </si>
  <si>
    <t>Sports Development(KICOSCA Games and other Sporting Activities)</t>
  </si>
  <si>
    <t>Social Development Services (Youth, Women and PWDs)</t>
  </si>
  <si>
    <t>Total for Public Participation and Civic Education</t>
  </si>
  <si>
    <t>Total for Office of the County Secretary</t>
  </si>
  <si>
    <t>Code</t>
  </si>
  <si>
    <t>Programme</t>
  </si>
  <si>
    <t>Projected Estimates (KShs)</t>
  </si>
  <si>
    <t>2019/2020</t>
  </si>
  <si>
    <t>2020/2021</t>
  </si>
  <si>
    <t xml:space="preserve">Total </t>
  </si>
  <si>
    <t> Code</t>
  </si>
  <si>
    <t> Programme</t>
  </si>
  <si>
    <t>Approved Budget Estimates (KShs)</t>
  </si>
  <si>
    <t>Recurrent Expenditure</t>
  </si>
  <si>
    <t>Development Expenditure</t>
  </si>
  <si>
    <t>Budget Estimates(KShs)</t>
  </si>
  <si>
    <t>2021/2022</t>
  </si>
  <si>
    <t>Budget Estimates (KShs)</t>
  </si>
  <si>
    <t xml:space="preserve">Recurrent </t>
  </si>
  <si>
    <t>Total O&amp;M for General Administration, Planning and Support Services</t>
  </si>
  <si>
    <t>Total for Enforcement Services</t>
  </si>
  <si>
    <t>Total for Human Resource Services</t>
  </si>
  <si>
    <t>Total Recurrent for General Administration, Planning and Support Services</t>
  </si>
  <si>
    <t>Total Expenditure for General Administration, Planning and Support Services</t>
  </si>
  <si>
    <t>Completion of Sub-County Headquarter Offices-Kitutu Chache South</t>
  </si>
  <si>
    <t>Completion of Sub-County Headquarter Offices-Kitutu Chache North</t>
  </si>
  <si>
    <t>Total O &amp; M for Devolved Services</t>
  </si>
  <si>
    <t>Total Expenditure for Devolved Services</t>
  </si>
  <si>
    <t>Total O&amp;M for Disaster Management and Rescue Services</t>
  </si>
  <si>
    <t>Total Expenditure for Disaster Management and Rescue Services</t>
  </si>
  <si>
    <t>Development Expenditure for Devolved Services</t>
  </si>
  <si>
    <t>Completion of pit latrines (Annex)</t>
  </si>
  <si>
    <t>Completion  of ward offices (Administration Block and toilet) (Annex)</t>
  </si>
  <si>
    <t xml:space="preserve">Total Expenditure </t>
  </si>
  <si>
    <t>Total development Expenditure</t>
  </si>
  <si>
    <t>Total Recurrent Expenditure</t>
  </si>
  <si>
    <t>Total Operations and Maintenance Expenditure</t>
  </si>
  <si>
    <t>total Development Expenditure</t>
  </si>
  <si>
    <t>Total Development Expenditure</t>
  </si>
  <si>
    <t>Total Expenditure</t>
  </si>
  <si>
    <t>Total Expendiure for General Administration, Planning and Support Services</t>
  </si>
  <si>
    <t>Total expenditure</t>
  </si>
  <si>
    <t>Total O&amp; M for ICT Services</t>
  </si>
  <si>
    <t xml:space="preserve">Total Expenditure for ICT Services </t>
  </si>
  <si>
    <t>Develoment Expenditure</t>
  </si>
  <si>
    <t>Fisheries</t>
  </si>
  <si>
    <t>Development Expenditure for General Administration, Planning and Support Services</t>
  </si>
  <si>
    <t>Total Development Expenditure for Veterinary Services</t>
  </si>
  <si>
    <t>Total Expenditure for Veterinary Services</t>
  </si>
  <si>
    <t>Total O&amp;M for Livestock Development</t>
  </si>
  <si>
    <t>Development Expenditure for Livestock Development</t>
  </si>
  <si>
    <t>Total Expenditure for Livestock Development</t>
  </si>
  <si>
    <t>Development Expenditure for Fisheries</t>
  </si>
  <si>
    <t>Total O&amp;M for Crop development amd Value addition</t>
  </si>
  <si>
    <t>Total Development Expenditure for Crop development amd Value addition</t>
  </si>
  <si>
    <t>Total O&amp;M for Agriculture Training Centre (ATC)</t>
  </si>
  <si>
    <t>Total Development Expenditure for Agriculture Training Centre (ATC)</t>
  </si>
  <si>
    <t>Total Expenditure for Agriculture Training Centre (ATC)</t>
  </si>
  <si>
    <t>Environment Management</t>
  </si>
  <si>
    <t>Total O&amp;M for Energy Services</t>
  </si>
  <si>
    <t>Total Development Expenditure for Energy Services</t>
  </si>
  <si>
    <t>Total Expenditure for Energy Services</t>
  </si>
  <si>
    <t>Total Development for Environment Management</t>
  </si>
  <si>
    <t>Water Schemes</t>
  </si>
  <si>
    <t xml:space="preserve">Construction/Drilling of Boreholes </t>
  </si>
  <si>
    <t>Development Expenditure for Water Services and Sanitation</t>
  </si>
  <si>
    <t>Total O&amp;M for Land Use Services</t>
  </si>
  <si>
    <t>Total O&amp;M for Urban Development</t>
  </si>
  <si>
    <t>Intergrated Strategic Urban Development Plan-Ogembo Town</t>
  </si>
  <si>
    <t>Preparation of Physical Development Plans for Urban Centres-Nyamarambe</t>
  </si>
  <si>
    <t>Preparation of Physical Development Plans for Urban Centres-Masimba</t>
  </si>
  <si>
    <t>Preparation of Physical Development Plans for Urban Centres-Mosocho</t>
  </si>
  <si>
    <t>Preparation of Physical Development Plans for Urban Centres-Marani</t>
  </si>
  <si>
    <t>Urban Roads</t>
  </si>
  <si>
    <t>Development Expenditure for Land Use Services</t>
  </si>
  <si>
    <t>Total Expenditure for Land Use Services</t>
  </si>
  <si>
    <t>Total Development Expenditure for Urban Development</t>
  </si>
  <si>
    <t>Total Expenditure for Urban Development</t>
  </si>
  <si>
    <t>County Roads</t>
  </si>
  <si>
    <t>Village Roads</t>
  </si>
  <si>
    <t xml:space="preserve">Road Maintenance </t>
  </si>
  <si>
    <t>Total Development Expenditure for Roads Development</t>
  </si>
  <si>
    <t>Total  Expenditure for Roads Development</t>
  </si>
  <si>
    <t>Development Expenditure for Public Works</t>
  </si>
  <si>
    <t>Total O&amp;M for Public Works</t>
  </si>
  <si>
    <t>Total Expenditure for Public Works</t>
  </si>
  <si>
    <t>Total O&amp;M for Housing Services</t>
  </si>
  <si>
    <t>Markets Development</t>
  </si>
  <si>
    <t>Total Development for General Administration, Planning and Support Services</t>
  </si>
  <si>
    <t>Completion of Gusii Stadium</t>
  </si>
  <si>
    <t>Completion of  Stadia/playing grounds in wards</t>
  </si>
  <si>
    <t>Total O&amp;M for Social Development</t>
  </si>
  <si>
    <t>Total Development Expenditure for Social Development</t>
  </si>
  <si>
    <t>Total Expenditure for Social Development</t>
  </si>
  <si>
    <t>Total O&amp;M for Sports Development</t>
  </si>
  <si>
    <t>Total Expenditure for Sports Development</t>
  </si>
  <si>
    <t>Total Development Expenditure for Sports Development</t>
  </si>
  <si>
    <t>Total O&amp;M for Cultural Services</t>
  </si>
  <si>
    <t>Total Develoment Expenditure for Cultural Services</t>
  </si>
  <si>
    <t>Total Expenditure for Cultural Services</t>
  </si>
  <si>
    <t>Total Development for Infrastructure Development</t>
  </si>
  <si>
    <t>Pedestrian Walk Ways and other Civil works</t>
  </si>
  <si>
    <t>Infrastructure Development and Civil works in Health Centres and Dispensaries</t>
  </si>
  <si>
    <t>Total Development Expenditure for Medical Services</t>
  </si>
  <si>
    <t>Total O&amp;M for Roads Development</t>
  </si>
  <si>
    <t xml:space="preserve">ECDE </t>
  </si>
  <si>
    <t>Construction of Workshops</t>
  </si>
  <si>
    <t>Construction of Hostels</t>
  </si>
  <si>
    <t xml:space="preserve"> Vocational Training</t>
  </si>
  <si>
    <t>Development Expenditure for Vocational Training</t>
  </si>
  <si>
    <t xml:space="preserve">Development Expenditure for ECDE </t>
  </si>
  <si>
    <t xml:space="preserve">Development Expenditure  </t>
  </si>
  <si>
    <t>Total Recurrent Expenditure for General Administration, Planning and Support Services</t>
  </si>
  <si>
    <t>Total for Procurement Services</t>
  </si>
  <si>
    <t>Street Lights</t>
  </si>
  <si>
    <t>Civil works and infrastructure development at Ogembo Library</t>
  </si>
  <si>
    <t>Completion of Cultural Centres</t>
  </si>
  <si>
    <t>Equiping  of Libraries</t>
  </si>
  <si>
    <t>Construction of Libraries</t>
  </si>
  <si>
    <t>Office of the Speaker</t>
  </si>
  <si>
    <t>Legislative, Oversight and Representation Services</t>
  </si>
  <si>
    <t>Licencing Fees for Communication</t>
  </si>
  <si>
    <t>3111009</t>
  </si>
  <si>
    <t>County Assembly Public Service Board</t>
  </si>
  <si>
    <t>Construction of MCAs' Offices at the Headquarters</t>
  </si>
  <si>
    <t>Total Budget for County Assembly Public Service Board</t>
  </si>
  <si>
    <t>Total O&amp;M Budget for Office of the Speaker</t>
  </si>
  <si>
    <t>Total Recurrent Budget for Office of the Speaker</t>
  </si>
  <si>
    <t>Total O&amp;M Budget for Legislative, Oversight and Representation Services</t>
  </si>
  <si>
    <t>Total Recurrent Budget for Legislative, Oversight and Representation Services</t>
  </si>
  <si>
    <t>Unreleased Balances for FY2018/2019</t>
  </si>
  <si>
    <t>Contracted Professional Services for various designs</t>
  </si>
  <si>
    <t xml:space="preserve">Completion of Nyagoto Dispensary Maternity </t>
  </si>
  <si>
    <t>Kenya Devolution Support Programme (Level 1 Funding)</t>
  </si>
  <si>
    <t>Aquaculture Business Development Programme (IFAD)</t>
  </si>
  <si>
    <t>Aquaculture Business Development Programme County Contribution</t>
  </si>
  <si>
    <t>Purchase and installation of  cold storage equipment at fish market</t>
  </si>
  <si>
    <t>Fencing of slaughter house</t>
  </si>
  <si>
    <t>Installation of milk coolers</t>
  </si>
  <si>
    <t>Other infrastructure and civil works-Operationalizing of SHoMaP markets/IFAD Hall</t>
  </si>
  <si>
    <t>Construction of toilet at Nyabioto Dispensary</t>
  </si>
  <si>
    <t>Construction of toilet at Magenche Dispensary</t>
  </si>
  <si>
    <t>Rennovation of Theatre at Iranda Level 4 Hospital</t>
  </si>
  <si>
    <t>Construction of Nyagoto Dispensary</t>
  </si>
  <si>
    <t>Improvement of Iyabe Level 4 Hospital</t>
  </si>
  <si>
    <t xml:space="preserve">Performance Management  Application System </t>
  </si>
  <si>
    <t>Construction of canopy and cabro works  at Keumbu Bus park</t>
  </si>
  <si>
    <t>Construction of Riabere Footbridge</t>
  </si>
  <si>
    <t>Maintenance  of Plant, Machinery and Equipment (Including Lifts,Generators e.t.c)</t>
  </si>
  <si>
    <t xml:space="preserve">Domain hosting and licencing </t>
  </si>
  <si>
    <t>Internet and WAN Connections</t>
  </si>
  <si>
    <t>Renumeration of Instructors and contract based training services</t>
  </si>
  <si>
    <t xml:space="preserve">Purchase of computers and ICT Equipment </t>
  </si>
  <si>
    <t>Wages for Temporary Employees - Elected</t>
  </si>
  <si>
    <t>Responsibility Allowances</t>
  </si>
  <si>
    <t xml:space="preserve">Advertising, Awareness and Publicity Campaigns </t>
  </si>
  <si>
    <t xml:space="preserve">Purchase of Uniforms and Clothing - Staff </t>
  </si>
  <si>
    <t xml:space="preserve">Sanitary and Cleaning Materials, Supplies and Services </t>
  </si>
  <si>
    <t>Transport Costs and charges(Freight/Loading, clearing ans Shipping charges)</t>
  </si>
  <si>
    <t>Binding of Records</t>
  </si>
  <si>
    <t xml:space="preserve">Mortgage and Car Loans </t>
  </si>
  <si>
    <t xml:space="preserve">Maintainance of Office Furniture and Equipment </t>
  </si>
  <si>
    <t xml:space="preserve">Maintenance of Buidings and Stations-Non-Residential </t>
  </si>
  <si>
    <t xml:space="preserve">Maintenance of Computers, Software and Networks </t>
  </si>
  <si>
    <t>Purchase of Furniture and Fittings (Cafeteria and New Offices)</t>
  </si>
  <si>
    <t>Purchase of ICT Networking and Communication Equipment (Inter coms)</t>
  </si>
  <si>
    <t>Construction of 4 Ward Offices</t>
  </si>
  <si>
    <t>Total O&amp;M  Office of the County Secretary</t>
  </si>
  <si>
    <t>Total Development for Office of the County Secretary</t>
  </si>
  <si>
    <t>Public Land Administration costs</t>
  </si>
  <si>
    <t>Supply of Banana Tissue Culture Suckers and Avocado Seedlings, Tea seedlings</t>
  </si>
  <si>
    <t>Preparation of land management information system(LMIS)</t>
  </si>
  <si>
    <t>Total O&amp;M for Audit Services</t>
  </si>
  <si>
    <t>Total Development for Audit Services</t>
  </si>
  <si>
    <t>Revenue Automation</t>
  </si>
  <si>
    <t>Total Development for Revenue mobilization and Management</t>
  </si>
  <si>
    <t>Total O&amp;M for Revenue Mobilization and Management</t>
  </si>
  <si>
    <t>Village Roads Maintenance</t>
  </si>
  <si>
    <t>Roads Maintenance Fuel Levy Fund</t>
  </si>
  <si>
    <t>Contracted Professional Services GIS database development and set-up</t>
  </si>
  <si>
    <t xml:space="preserve">Drainage Works </t>
  </si>
  <si>
    <t xml:space="preserve">Completion of Gusii Stadium </t>
  </si>
  <si>
    <t>Sub-Total</t>
  </si>
  <si>
    <t>Construction of foot bridge</t>
  </si>
  <si>
    <t>TOTAL FOR ROADS</t>
  </si>
  <si>
    <t xml:space="preserve">Completion of Workshops(phase 1) </t>
  </si>
  <si>
    <t>Establishment of County FM Station</t>
  </si>
  <si>
    <t xml:space="preserve">Construction of Bridge </t>
  </si>
  <si>
    <t>Total for Recurrent for Communication Services</t>
  </si>
  <si>
    <t>Total Recurrent for Veterinary Services</t>
  </si>
  <si>
    <t>Renovations of slaughter house Ogembo</t>
  </si>
  <si>
    <t>Renovations of fish multiplication centre Ogembo</t>
  </si>
  <si>
    <t>Renovations of Fish Multiplication Centre</t>
  </si>
  <si>
    <t>Construction of washrooms</t>
  </si>
  <si>
    <t>Total O&amp;M Budget for County Assembly Service</t>
  </si>
  <si>
    <t>Total Recurrent Budget for County Assembly Service</t>
  </si>
  <si>
    <t>County Assembly Service</t>
  </si>
  <si>
    <t xml:space="preserve">County Assembly Service </t>
  </si>
  <si>
    <t>Construction of Mogumo Footbridge</t>
  </si>
  <si>
    <t>Completion of Bus Parks</t>
  </si>
  <si>
    <t>Completion of Riogachi Dispensary</t>
  </si>
  <si>
    <t>Extension of Structured Computer Network and Telecoms Infrastructure at County Government Buildings (HQ, Health facilities, Planning, Kisii Municipality, ATC, Special programs)</t>
  </si>
  <si>
    <t>Deployment and customization of Project Management and Monitoring and Evaluation system</t>
  </si>
  <si>
    <t xml:space="preserve">IT Systems Security audit and penetration testing  </t>
  </si>
  <si>
    <t>Integration of Network Resources and Services with Active Directory Services</t>
  </si>
  <si>
    <t>Installation of Blade Servers and virtualization for systems deployment and storage at data center</t>
  </si>
  <si>
    <t>Setting up of video surveilance systems with integrated backups (CCTV) at  County Treasury and Executive Sections</t>
  </si>
  <si>
    <t xml:space="preserve">Development and Implementation of Planning, Budgeting and Public participation system - </t>
  </si>
  <si>
    <t xml:space="preserve">Supply, Installation and Configuration of IP Telephony Headsets, Auto Attendant and mobility Licensing </t>
  </si>
  <si>
    <t>Services for Planning and Topological Design of Kisii County Government Private Network Infrastructure</t>
  </si>
  <si>
    <t>Licensing Configuration and Support of Firewall and Unified Threat Management Syatem for Kisii County Enterprise Networks</t>
  </si>
  <si>
    <t>Completion of Engeta dispensary</t>
  </si>
  <si>
    <t>Gusii stadium maintenance -Fungicides, Insecticides and Sprays</t>
  </si>
  <si>
    <t>Civil works and infrastructure development at Gusii Stadium</t>
  </si>
  <si>
    <t>Membership fees, dues, and subscriptions to proffessional and Trade Bodies</t>
  </si>
  <si>
    <t>Total for Development for Communication Services</t>
  </si>
  <si>
    <t>Accomodation</t>
  </si>
  <si>
    <t>Purchase of Bicycles and Motorcycles</t>
  </si>
  <si>
    <t>Office Partitioning at Kisii Town and Completion of Store</t>
  </si>
  <si>
    <t>Construction of car wash shade at Daraja moja Gudka Side</t>
  </si>
  <si>
    <t>Ogembo PAG -  Bwo'ndege Road</t>
  </si>
  <si>
    <t>Kisii town waste land hill protection works</t>
  </si>
  <si>
    <t>Purchase of plant and Machinery</t>
  </si>
  <si>
    <t>Completion of Itibonge Health Centre</t>
  </si>
  <si>
    <t>Remittances to Exchequer Fines,Penalties &amp; Forfeitures &amp; Other charges (KRA)</t>
  </si>
  <si>
    <t xml:space="preserve">Bokimonge </t>
  </si>
  <si>
    <t>Construction of  pit latrines at ECDE centres</t>
  </si>
  <si>
    <t>Construction of Moogi Dispensary</t>
  </si>
  <si>
    <t>Contracted community health Volunteers</t>
  </si>
  <si>
    <t>Contracted Technical Services(Health ICT Master Plan)</t>
  </si>
  <si>
    <t>Supply and installation of high capacity back up generator complete with automated monitoring and fuel reservoir</t>
  </si>
  <si>
    <t>Supply and installation and configuration of enterprise end point security and SI solution for all county IT systems and equipment</t>
  </si>
  <si>
    <t>Conditional share to Kisii Level V Facility (514,877,456)</t>
  </si>
  <si>
    <t>Supply, Delivery And Installation Of Morgue/Pathology Equipment And Rehabilitation/Mechanical Works</t>
  </si>
  <si>
    <t>Integrated water storage and supply system upgrade</t>
  </si>
  <si>
    <t>supply, delivery and installation of UPS/AVR equipment</t>
  </si>
  <si>
    <t>Extension of oxygen piping works for KTRH</t>
  </si>
  <si>
    <t>Construction of ablution block and Cabro paving at KTRH</t>
  </si>
  <si>
    <t>Wall fencing at Hostel block</t>
  </si>
  <si>
    <t>Expansion of main hospital walkway</t>
  </si>
  <si>
    <t>Medals, Awards and honours</t>
  </si>
  <si>
    <t>Purchase of motorvehicle</t>
  </si>
  <si>
    <t>Civil Works and Infrastructure Development at KTRH</t>
  </si>
  <si>
    <t>Construction of perimeter wall PHASE II</t>
  </si>
  <si>
    <t>Construction of Mother – Child Hospital (MULTI YEAR PROJECT)</t>
  </si>
  <si>
    <t>Doctors' plaza (MULTI YEAR PROJECT)</t>
  </si>
  <si>
    <t>ADJUSTMENTS</t>
  </si>
  <si>
    <t>APPROVED BUDGET 2019/2020</t>
  </si>
  <si>
    <t>PROPOSED REVISED BUDGET 2019/2020</t>
  </si>
  <si>
    <t>APPROVED BUDGET -2019/2020</t>
  </si>
  <si>
    <t>APPROVED  BUDGET 2019/20</t>
  </si>
  <si>
    <t>PROPOSED REVISED BUDGET 2019/20</t>
  </si>
  <si>
    <t>Completion of Sub-County Headquarter Offices-Bomachoge Borabu</t>
  </si>
  <si>
    <t>Stakeholder Management, Public Participation and Disaster Management</t>
  </si>
  <si>
    <t>Construction of Governor's Residence (Phase one)</t>
  </si>
  <si>
    <t>Training allowance (NITA)</t>
  </si>
  <si>
    <t>water and sewarage</t>
  </si>
  <si>
    <t>Purchase of Computers Communication and ICT Equipments</t>
  </si>
  <si>
    <t>supply of engineering equipment</t>
  </si>
  <si>
    <t>Rent and Rates</t>
  </si>
  <si>
    <t>Construction of perimeter wall lower side of treasury</t>
  </si>
  <si>
    <t>Retaining of loose dangerous soil behind executive fabricated office block B and C</t>
  </si>
  <si>
    <t>Construction of part of perimeter fence at county executive offices</t>
  </si>
  <si>
    <t>Extension of mechanical garage</t>
  </si>
  <si>
    <t>Grading and concrete works at Ogembo bus bay</t>
  </si>
  <si>
    <t>Construction of walkway to the ministry of lands housing physical planning and urban development</t>
  </si>
  <si>
    <t>Completion of marani market</t>
  </si>
  <si>
    <t>Construction of pit latrine at Keumbu Market</t>
  </si>
  <si>
    <t>Supply of engineering equipment</t>
  </si>
  <si>
    <t>Refurbishment of Residential Buildings</t>
  </si>
  <si>
    <t>Construction of washroom at tuskys stage -kisii</t>
  </si>
  <si>
    <t>Nyamataro-Nyakobara Rd</t>
  </si>
  <si>
    <t>Purchase of other office equipment (PA System)</t>
  </si>
  <si>
    <t>Construction of Mashauri enforcement shed</t>
  </si>
  <si>
    <t>Maintenance of Buildings and Stations -- Residential</t>
  </si>
  <si>
    <t xml:space="preserve"> </t>
  </si>
  <si>
    <t>Revenue Automation (Purchase of Revenue Automation Server)</t>
  </si>
  <si>
    <t>Kerenge-Ekayaba Rd</t>
  </si>
  <si>
    <t>Construction of Kiabusura Dispensary</t>
  </si>
  <si>
    <t>Maintenance Expenses - Fire Engine</t>
  </si>
  <si>
    <t>Payment of Rents and Rates - Non-Residential</t>
  </si>
  <si>
    <t>Trade Shows and Exhibitions (Livestock)</t>
  </si>
  <si>
    <t>Civil works at Dairy Unit Phase 1</t>
  </si>
  <si>
    <t>Maintenance of Civil Works (Gusii Stadium)</t>
  </si>
  <si>
    <t>Completion of mwamogesa dispensary</t>
  </si>
  <si>
    <t>Completion of Nyachenge dispensary</t>
  </si>
  <si>
    <t>Purchase and installation of broadcasting equipment</t>
  </si>
  <si>
    <t>Purchase of ICT equipment and software</t>
  </si>
  <si>
    <t xml:space="preserve">Solid waste management </t>
  </si>
  <si>
    <t xml:space="preserve">Roads Maintenance Fuel Levy Fund </t>
  </si>
  <si>
    <t xml:space="preserve">Roads Maintenance </t>
  </si>
  <si>
    <t xml:space="preserve">Maintenance of Village Roads </t>
  </si>
  <si>
    <t xml:space="preserve">Village Roads </t>
  </si>
  <si>
    <t>Construction of Rikenye Box Bridge</t>
  </si>
  <si>
    <t>Completion of Nyakeiborere Dispensary</t>
  </si>
  <si>
    <t>Civil Works at Nyamarambe sawasawa road</t>
  </si>
  <si>
    <t>Civil works at Igege Kanyimbo Riatemo Road</t>
  </si>
  <si>
    <t>Transport Costs and Charges ( freight, loading/unloading, clearing and s</t>
  </si>
  <si>
    <t xml:space="preserve"> Kenya Revenue Authority</t>
  </si>
  <si>
    <t xml:space="preserve">Construction of canopy at Keumbu </t>
  </si>
  <si>
    <r>
      <t>Purchase and installation of 2 No. 10M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storage tanks per ward</t>
    </r>
  </si>
  <si>
    <t>Construction of New Assembly Chambers</t>
  </si>
  <si>
    <t>Deployment of Enterprise Computer Operation and Management Systems for entire IT environment</t>
  </si>
  <si>
    <t xml:space="preserve">Completion of OPD Block  at Omobera  Dispensary </t>
  </si>
  <si>
    <t>Construction of toilet at Omobera Dispensary</t>
  </si>
  <si>
    <t>Completion of Nyosia dispensary</t>
  </si>
  <si>
    <t>Completion of Nyasasa dispensary</t>
  </si>
  <si>
    <t>Ikorora Footbridge</t>
  </si>
  <si>
    <t>marani</t>
  </si>
  <si>
    <t>ADJUSTMENT NOTES</t>
  </si>
  <si>
    <t>deduct  245,219 moved from subscriptions to news papers</t>
  </si>
  <si>
    <t>total requisition more than rvsd bgt . Add back 245, 219 and deduct it from publishing and printing services</t>
  </si>
  <si>
    <t xml:space="preserve">deduct 35,200 moved from production and printing </t>
  </si>
  <si>
    <t>add back 35, 200 and deduct it from travel allowance</t>
  </si>
  <si>
    <t>landscaping</t>
  </si>
  <si>
    <t>Maintenance of Civil Works(culture department)</t>
  </si>
  <si>
    <t>purchase of Artefacts(soapstone curvings)</t>
  </si>
  <si>
    <t>APPROVED REVISED BUDGET 2019/2020</t>
  </si>
  <si>
    <t>PROPOSED BUDGET FY2020/2021</t>
  </si>
  <si>
    <t>PROPOSED BUDGET 2020/2021</t>
  </si>
  <si>
    <t>APPROVED REVISED  BUDGET 2019/2020</t>
  </si>
  <si>
    <t>TOTAL Stakeholder Management</t>
  </si>
  <si>
    <t>TOTAL Finance and Accounting Svs</t>
  </si>
  <si>
    <t>TOTAL Economic Planning and Development</t>
  </si>
  <si>
    <t xml:space="preserve">AQUACULTURE BUSINESS DEVELOPMENT PROGRAMME </t>
  </si>
  <si>
    <t>ENERGY, WATER,ENVIRONMENT AND NATURAL RESOURCES</t>
  </si>
  <si>
    <t>EDUCATION AND MANPOWER SERVICES</t>
  </si>
  <si>
    <t xml:space="preserve">County Roads </t>
  </si>
  <si>
    <t>Roads Maintenance Fuel Levy Fund Bal from previous year</t>
  </si>
  <si>
    <t>Roads Maintenance Fuel Levy Fund (current Year)</t>
  </si>
  <si>
    <t>TOTAL KISII MUNICIPAL</t>
  </si>
  <si>
    <t>KISII MUNICIPAL</t>
  </si>
  <si>
    <t>Total Development</t>
  </si>
  <si>
    <t xml:space="preserve">ForeignTravel costs(airlines, bus, railway, mileage allowances,- </t>
  </si>
  <si>
    <t>Accomodation - Foreign Travel</t>
  </si>
  <si>
    <t>Daily Subsistence Allowance- Foreign Travel</t>
  </si>
  <si>
    <t>Sundery expenses</t>
  </si>
  <si>
    <t>Community Outreach program</t>
  </si>
  <si>
    <t>Purchase of phones &amp; other communication equipment</t>
  </si>
  <si>
    <t>Mantainance of machines &amp; equipment</t>
  </si>
  <si>
    <t>Purchase of computers</t>
  </si>
  <si>
    <t>Purchase of motor vehicle</t>
  </si>
  <si>
    <t>Mantainance of motor vehicle</t>
  </si>
  <si>
    <t>Construction of Fish multiplication centre (Staff Houses)</t>
  </si>
  <si>
    <t>Civil works at Dairy Unit Phase 11</t>
  </si>
  <si>
    <t>Maintenance Expenses-Motor vehicles and Cycles</t>
  </si>
  <si>
    <t>Total O&amp;M for Fisheries Development</t>
  </si>
  <si>
    <t>2211015</t>
  </si>
  <si>
    <t>Food and Rations</t>
  </si>
  <si>
    <t>2211021</t>
  </si>
  <si>
    <t>Purchase of Bedding and Linen</t>
  </si>
  <si>
    <t xml:space="preserve">Trade Shows and Exhibitions (Agriculture)-International Ushirika day  celebrations </t>
  </si>
  <si>
    <t>2,500,000,</t>
  </si>
  <si>
    <t>Construction of foot bridges</t>
  </si>
  <si>
    <t>Construction of Bridges</t>
  </si>
  <si>
    <t>-</t>
  </si>
  <si>
    <t>Purchase of utility vehicle</t>
  </si>
  <si>
    <t>Malaria Program</t>
  </si>
  <si>
    <t>Immunization</t>
  </si>
  <si>
    <t>HIV/TB Program</t>
  </si>
  <si>
    <t>Community Led Total Sanitation (CLTS)</t>
  </si>
  <si>
    <t>School Health Program</t>
  </si>
  <si>
    <t>Disease Surveillance</t>
  </si>
  <si>
    <t>Purchase of motor vehicles</t>
  </si>
  <si>
    <t>Total O &amp; M for Advisory Services</t>
  </si>
  <si>
    <t>Fencing of Nyatieko waste management site</t>
  </si>
  <si>
    <t>Nyatieko waste management civil works</t>
  </si>
  <si>
    <t>Nyatieko waste management site access roads</t>
  </si>
  <si>
    <t xml:space="preserve"> Completion Integrated Street Lighting </t>
  </si>
  <si>
    <t>Purchase of Brood stock</t>
  </si>
  <si>
    <t>Fencing of Veterinary clinic (phase One)</t>
  </si>
  <si>
    <t>Conditional share to Development of Youth Polytechnics Bal B/f</t>
  </si>
  <si>
    <t>Conditional Allocation-Transforming Health Systems for Universal Care</t>
  </si>
  <si>
    <t>Fencing of Etora waste management site</t>
  </si>
  <si>
    <t>Keroka backstreet</t>
  </si>
  <si>
    <t>purchase of Etora waste management site</t>
  </si>
  <si>
    <t>Contracted Technical Services(Valuation Roll)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</si>
</sst>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sh&quot;#,##0;\-&quot;Ksh&quot;#,##0"/>
    <numFmt numFmtId="173" formatCode="&quot;Ksh&quot;#,##0;[Red]\-&quot;Ksh&quot;#,##0"/>
    <numFmt numFmtId="174" formatCode="&quot;Ksh&quot;#,##0.00;\-&quot;Ksh&quot;#,##0.00"/>
    <numFmt numFmtId="175" formatCode="&quot;Ksh&quot;#,##0.00;[Red]\-&quot;Ksh&quot;#,##0.00"/>
    <numFmt numFmtId="176" formatCode="_-&quot;Ksh&quot;* #,##0_-;\-&quot;Ksh&quot;* #,##0_-;_-&quot;Ksh&quot;* &quot;-&quot;_-;_-@_-"/>
    <numFmt numFmtId="177" formatCode="_-&quot;Ksh&quot;* #,##0.00_-;\-&quot;Ksh&quot;* #,##0.00_-;_-&quot;Ksh&quot;* &quot;-&quot;??_-;_-@_-"/>
    <numFmt numFmtId="178" formatCode="_-* #,##0_-;\-* #,##0_-;_-* &quot;-&quot;??_-;_-@_-"/>
    <numFmt numFmtId="179" formatCode="_(* #,##0_);_(* \(#,##0\);_(* &quot;-&quot;??_);_(@_)"/>
    <numFmt numFmtId="180" formatCode="_(* #,##0.0_);_(* \(#,##0.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[$-409]dddd\,\ mmmm\ d\,\ yyyy"/>
    <numFmt numFmtId="188" formatCode="[$-409]h:mm:ss\ AM/PM"/>
    <numFmt numFmtId="189" formatCode="_(* #,##0.0_);_(* \(#,##0.0\);_(* &quot;-&quot;?_);_(@_)"/>
    <numFmt numFmtId="190" formatCode="#,##0.0"/>
    <numFmt numFmtId="191" formatCode="#,##0.000"/>
    <numFmt numFmtId="192" formatCode="#,##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_);_(* \(#,##0.000\);_(* &quot;-&quot;??_);_(@_)"/>
    <numFmt numFmtId="198" formatCode="_(* #,##0.0000_);_(* \(#,##0.0000\);_(* &quot;-&quot;??_);_(@_)"/>
    <numFmt numFmtId="199" formatCode="[$]dddd\,\ d\ mmmm\ yyyy"/>
    <numFmt numFmtId="200" formatCode="0.0"/>
    <numFmt numFmtId="201" formatCode="#,##0.00000"/>
    <numFmt numFmtId="202" formatCode="_(* #,##0.000_);_(* \(#,##0.000\);_(* &quot;-&quot;???_);_(@_)"/>
    <numFmt numFmtId="203" formatCode="_-* #,##0.0_-;\-* #,##0.0_-;_-* &quot;-&quot;??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0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956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ill="1" applyAlignment="1">
      <alignment/>
    </xf>
    <xf numFmtId="0" fontId="72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2" fillId="33" borderId="10" xfId="0" applyFont="1" applyFill="1" applyBorder="1" applyAlignment="1">
      <alignment/>
    </xf>
    <xf numFmtId="3" fontId="74" fillId="33" borderId="10" xfId="0" applyNumberFormat="1" applyFont="1" applyFill="1" applyBorder="1" applyAlignment="1">
      <alignment/>
    </xf>
    <xf numFmtId="3" fontId="7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6" fillId="0" borderId="0" xfId="0" applyFont="1" applyAlignment="1">
      <alignment/>
    </xf>
    <xf numFmtId="0" fontId="69" fillId="0" borderId="0" xfId="0" applyFont="1" applyAlignment="1">
      <alignment/>
    </xf>
    <xf numFmtId="0" fontId="73" fillId="0" borderId="10" xfId="0" applyFont="1" applyBorder="1" applyAlignment="1">
      <alignment horizontal="left"/>
    </xf>
    <xf numFmtId="0" fontId="73" fillId="0" borderId="10" xfId="0" applyFont="1" applyBorder="1" applyAlignment="1">
      <alignment horizontal="left" vertical="top"/>
    </xf>
    <xf numFmtId="0" fontId="73" fillId="33" borderId="10" xfId="0" applyFont="1" applyFill="1" applyBorder="1" applyAlignment="1">
      <alignment/>
    </xf>
    <xf numFmtId="0" fontId="70" fillId="0" borderId="0" xfId="0" applyFont="1" applyAlignment="1">
      <alignment/>
    </xf>
    <xf numFmtId="0" fontId="4" fillId="34" borderId="10" xfId="60" applyFont="1" applyFill="1" applyBorder="1" applyAlignment="1">
      <alignment horizontal="left"/>
      <protection/>
    </xf>
    <xf numFmtId="0" fontId="4" fillId="0" borderId="10" xfId="60" applyFont="1" applyBorder="1">
      <alignment/>
      <protection/>
    </xf>
    <xf numFmtId="0" fontId="2" fillId="0" borderId="10" xfId="60" applyFont="1" applyBorder="1">
      <alignment/>
      <protection/>
    </xf>
    <xf numFmtId="0" fontId="2" fillId="0" borderId="10" xfId="60" applyFont="1" applyFill="1" applyBorder="1">
      <alignment/>
      <protection/>
    </xf>
    <xf numFmtId="0" fontId="72" fillId="35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72" fillId="36" borderId="10" xfId="0" applyFont="1" applyFill="1" applyBorder="1" applyAlignment="1">
      <alignment vertical="top" wrapText="1"/>
    </xf>
    <xf numFmtId="43" fontId="72" fillId="36" borderId="10" xfId="42" applyFont="1" applyFill="1" applyBorder="1" applyAlignment="1">
      <alignment vertical="top" wrapText="1"/>
    </xf>
    <xf numFmtId="0" fontId="72" fillId="37" borderId="10" xfId="0" applyFont="1" applyFill="1" applyBorder="1" applyAlignment="1">
      <alignment vertical="top"/>
    </xf>
    <xf numFmtId="43" fontId="2" fillId="37" borderId="10" xfId="42" applyFont="1" applyFill="1" applyBorder="1" applyAlignment="1">
      <alignment vertical="top"/>
    </xf>
    <xf numFmtId="43" fontId="2" fillId="37" borderId="10" xfId="0" applyNumberFormat="1" applyFont="1" applyFill="1" applyBorder="1" applyAlignment="1">
      <alignment vertical="top"/>
    </xf>
    <xf numFmtId="0" fontId="73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179" fontId="2" fillId="0" borderId="10" xfId="42" applyNumberFormat="1" applyFont="1" applyBorder="1" applyAlignment="1">
      <alignment vertical="top"/>
    </xf>
    <xf numFmtId="179" fontId="2" fillId="0" borderId="10" xfId="0" applyNumberFormat="1" applyFont="1" applyBorder="1" applyAlignment="1">
      <alignment vertical="top"/>
    </xf>
    <xf numFmtId="179" fontId="2" fillId="37" borderId="10" xfId="42" applyNumberFormat="1" applyFont="1" applyFill="1" applyBorder="1" applyAlignment="1">
      <alignment vertical="top"/>
    </xf>
    <xf numFmtId="0" fontId="72" fillId="38" borderId="10" xfId="0" applyFont="1" applyFill="1" applyBorder="1" applyAlignment="1">
      <alignment vertical="top"/>
    </xf>
    <xf numFmtId="0" fontId="4" fillId="38" borderId="10" xfId="0" applyFont="1" applyFill="1" applyBorder="1" applyAlignment="1">
      <alignment vertical="top"/>
    </xf>
    <xf numFmtId="179" fontId="4" fillId="38" borderId="10" xfId="42" applyNumberFormat="1" applyFont="1" applyFill="1" applyBorder="1" applyAlignment="1">
      <alignment vertical="top"/>
    </xf>
    <xf numFmtId="0" fontId="4" fillId="37" borderId="10" xfId="0" applyFont="1" applyFill="1" applyBorder="1" applyAlignment="1">
      <alignment vertical="top"/>
    </xf>
    <xf numFmtId="179" fontId="4" fillId="37" borderId="10" xfId="42" applyNumberFormat="1" applyFont="1" applyFill="1" applyBorder="1" applyAlignment="1">
      <alignment vertical="top"/>
    </xf>
    <xf numFmtId="179" fontId="4" fillId="37" borderId="10" xfId="0" applyNumberFormat="1" applyFont="1" applyFill="1" applyBorder="1" applyAlignment="1">
      <alignment vertical="top"/>
    </xf>
    <xf numFmtId="0" fontId="73" fillId="39" borderId="10" xfId="0" applyFont="1" applyFill="1" applyBorder="1" applyAlignment="1">
      <alignment vertical="top"/>
    </xf>
    <xf numFmtId="0" fontId="2" fillId="39" borderId="10" xfId="0" applyFont="1" applyFill="1" applyBorder="1" applyAlignment="1">
      <alignment vertical="top"/>
    </xf>
    <xf numFmtId="179" fontId="2" fillId="39" borderId="10" xfId="42" applyNumberFormat="1" applyFont="1" applyFill="1" applyBorder="1" applyAlignment="1">
      <alignment vertical="top"/>
    </xf>
    <xf numFmtId="179" fontId="2" fillId="39" borderId="10" xfId="0" applyNumberFormat="1" applyFont="1" applyFill="1" applyBorder="1" applyAlignment="1">
      <alignment vertical="top"/>
    </xf>
    <xf numFmtId="0" fontId="77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73" fillId="40" borderId="10" xfId="0" applyFont="1" applyFill="1" applyBorder="1" applyAlignment="1">
      <alignment vertical="top"/>
    </xf>
    <xf numFmtId="0" fontId="4" fillId="40" borderId="11" xfId="0" applyFont="1" applyFill="1" applyBorder="1" applyAlignment="1">
      <alignment vertical="top"/>
    </xf>
    <xf numFmtId="179" fontId="4" fillId="40" borderId="10" xfId="0" applyNumberFormat="1" applyFont="1" applyFill="1" applyBorder="1" applyAlignment="1">
      <alignment vertical="top"/>
    </xf>
    <xf numFmtId="179" fontId="73" fillId="0" borderId="10" xfId="42" applyNumberFormat="1" applyFont="1" applyBorder="1" applyAlignment="1">
      <alignment vertical="top"/>
    </xf>
    <xf numFmtId="0" fontId="73" fillId="40" borderId="10" xfId="0" applyFont="1" applyFill="1" applyBorder="1" applyAlignment="1">
      <alignment/>
    </xf>
    <xf numFmtId="179" fontId="72" fillId="34" borderId="10" xfId="42" applyNumberFormat="1" applyFont="1" applyFill="1" applyBorder="1" applyAlignment="1">
      <alignment horizontal="center" vertical="top" wrapText="1"/>
    </xf>
    <xf numFmtId="179" fontId="72" fillId="39" borderId="10" xfId="42" applyNumberFormat="1" applyFont="1" applyFill="1" applyBorder="1" applyAlignment="1">
      <alignment horizontal="right" vertical="top" wrapText="1"/>
    </xf>
    <xf numFmtId="179" fontId="2" fillId="39" borderId="10" xfId="42" applyNumberFormat="1" applyFont="1" applyFill="1" applyBorder="1" applyAlignment="1">
      <alignment vertical="top" wrapText="1"/>
    </xf>
    <xf numFmtId="179" fontId="72" fillId="0" borderId="10" xfId="42" applyNumberFormat="1" applyFont="1" applyBorder="1" applyAlignment="1">
      <alignment vertical="top"/>
    </xf>
    <xf numFmtId="179" fontId="72" fillId="35" borderId="10" xfId="42" applyNumberFormat="1" applyFont="1" applyFill="1" applyBorder="1" applyAlignment="1">
      <alignment vertical="top"/>
    </xf>
    <xf numFmtId="0" fontId="73" fillId="0" borderId="0" xfId="0" applyFont="1" applyAlignment="1">
      <alignment/>
    </xf>
    <xf numFmtId="0" fontId="4" fillId="0" borderId="10" xfId="0" applyFont="1" applyBorder="1" applyAlignment="1">
      <alignment/>
    </xf>
    <xf numFmtId="0" fontId="73" fillId="0" borderId="10" xfId="0" applyFont="1" applyFill="1" applyBorder="1" applyAlignment="1">
      <alignment/>
    </xf>
    <xf numFmtId="3" fontId="75" fillId="0" borderId="10" xfId="0" applyNumberFormat="1" applyFont="1" applyFill="1" applyBorder="1" applyAlignment="1">
      <alignment/>
    </xf>
    <xf numFmtId="0" fontId="72" fillId="35" borderId="10" xfId="0" applyFont="1" applyFill="1" applyBorder="1" applyAlignment="1">
      <alignment/>
    </xf>
    <xf numFmtId="0" fontId="72" fillId="34" borderId="10" xfId="0" applyFont="1" applyFill="1" applyBorder="1" applyAlignment="1">
      <alignment/>
    </xf>
    <xf numFmtId="3" fontId="73" fillId="0" borderId="10" xfId="0" applyNumberFormat="1" applyFont="1" applyBorder="1" applyAlignment="1">
      <alignment/>
    </xf>
    <xf numFmtId="3" fontId="72" fillId="33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3" fontId="73" fillId="0" borderId="10" xfId="0" applyNumberFormat="1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3" fontId="74" fillId="0" borderId="10" xfId="0" applyNumberFormat="1" applyFont="1" applyFill="1" applyBorder="1" applyAlignment="1">
      <alignment/>
    </xf>
    <xf numFmtId="0" fontId="75" fillId="0" borderId="0" xfId="0" applyFont="1" applyAlignment="1">
      <alignment/>
    </xf>
    <xf numFmtId="2" fontId="73" fillId="0" borderId="0" xfId="0" applyNumberFormat="1" applyFont="1" applyAlignment="1">
      <alignment/>
    </xf>
    <xf numFmtId="0" fontId="7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7" fontId="73" fillId="0" borderId="10" xfId="42" applyNumberFormat="1" applyFont="1" applyBorder="1" applyAlignment="1">
      <alignment/>
    </xf>
    <xf numFmtId="179" fontId="72" fillId="34" borderId="10" xfId="42" applyNumberFormat="1" applyFont="1" applyFill="1" applyBorder="1" applyAlignment="1">
      <alignment horizontal="left" vertical="top" wrapText="1"/>
    </xf>
    <xf numFmtId="3" fontId="4" fillId="35" borderId="10" xfId="42" applyNumberFormat="1" applyFont="1" applyFill="1" applyBorder="1" applyAlignment="1">
      <alignment horizontal="right" vertical="top"/>
    </xf>
    <xf numFmtId="3" fontId="72" fillId="35" borderId="10" xfId="42" applyNumberFormat="1" applyFont="1" applyFill="1" applyBorder="1" applyAlignment="1">
      <alignment horizontal="right" vertical="top"/>
    </xf>
    <xf numFmtId="37" fontId="4" fillId="39" borderId="10" xfId="42" applyNumberFormat="1" applyFont="1" applyFill="1" applyBorder="1" applyAlignment="1">
      <alignment vertical="top" wrapText="1"/>
    </xf>
    <xf numFmtId="0" fontId="2" fillId="39" borderId="10" xfId="56" applyNumberFormat="1" applyFont="1" applyFill="1" applyBorder="1" applyAlignment="1">
      <alignment horizontal="left" vertical="top"/>
    </xf>
    <xf numFmtId="0" fontId="73" fillId="0" borderId="10" xfId="0" applyNumberFormat="1" applyFont="1" applyBorder="1" applyAlignment="1">
      <alignment vertical="top"/>
    </xf>
    <xf numFmtId="0" fontId="73" fillId="0" borderId="12" xfId="0" applyNumberFormat="1" applyFont="1" applyBorder="1" applyAlignment="1">
      <alignment vertical="top" wrapText="1"/>
    </xf>
    <xf numFmtId="0" fontId="73" fillId="0" borderId="10" xfId="0" applyNumberFormat="1" applyFont="1" applyBorder="1" applyAlignment="1">
      <alignment/>
    </xf>
    <xf numFmtId="0" fontId="4" fillId="35" borderId="10" xfId="0" applyNumberFormat="1" applyFont="1" applyFill="1" applyBorder="1" applyAlignment="1">
      <alignment vertical="top"/>
    </xf>
    <xf numFmtId="0" fontId="72" fillId="35" borderId="10" xfId="42" applyNumberFormat="1" applyFont="1" applyFill="1" applyBorder="1" applyAlignment="1">
      <alignment vertical="top"/>
    </xf>
    <xf numFmtId="0" fontId="73" fillId="0" borderId="10" xfId="0" applyFont="1" applyFill="1" applyBorder="1" applyAlignment="1">
      <alignment horizontal="left"/>
    </xf>
    <xf numFmtId="0" fontId="72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2" fillId="34" borderId="10" xfId="45" applyNumberFormat="1" applyFont="1" applyFill="1" applyBorder="1" applyAlignment="1">
      <alignment/>
    </xf>
    <xf numFmtId="0" fontId="2" fillId="34" borderId="10" xfId="45" applyNumberFormat="1" applyFont="1" applyFill="1" applyBorder="1" applyAlignment="1">
      <alignment horizontal="left"/>
    </xf>
    <xf numFmtId="0" fontId="2" fillId="34" borderId="10" xfId="0" applyNumberFormat="1" applyFont="1" applyFill="1" applyBorder="1" applyAlignment="1">
      <alignment horizontal="left"/>
    </xf>
    <xf numFmtId="0" fontId="2" fillId="34" borderId="10" xfId="60" applyNumberFormat="1" applyFont="1" applyFill="1" applyBorder="1" applyAlignment="1">
      <alignment horizontal="left"/>
      <protection/>
    </xf>
    <xf numFmtId="3" fontId="6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4" fillId="34" borderId="10" xfId="60" applyNumberFormat="1" applyFont="1" applyFill="1" applyBorder="1" applyAlignment="1">
      <alignment/>
      <protection/>
    </xf>
    <xf numFmtId="0" fontId="5" fillId="39" borderId="10" xfId="42" applyNumberFormat="1" applyFont="1" applyFill="1" applyBorder="1" applyAlignment="1">
      <alignment horizontal="left"/>
    </xf>
    <xf numFmtId="0" fontId="75" fillId="0" borderId="10" xfId="0" applyFont="1" applyBorder="1" applyAlignment="1">
      <alignment/>
    </xf>
    <xf numFmtId="3" fontId="7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73" fillId="0" borderId="10" xfId="0" applyFont="1" applyBorder="1" applyAlignment="1">
      <alignment/>
    </xf>
    <xf numFmtId="3" fontId="75" fillId="0" borderId="10" xfId="0" applyNumberFormat="1" applyFont="1" applyBorder="1" applyAlignment="1">
      <alignment/>
    </xf>
    <xf numFmtId="0" fontId="77" fillId="0" borderId="10" xfId="0" applyFont="1" applyBorder="1" applyAlignment="1">
      <alignment/>
    </xf>
    <xf numFmtId="3" fontId="73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/>
    </xf>
    <xf numFmtId="3" fontId="72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3" fontId="79" fillId="40" borderId="10" xfId="42" applyNumberFormat="1" applyFont="1" applyFill="1" applyBorder="1" applyAlignment="1">
      <alignment/>
    </xf>
    <xf numFmtId="3" fontId="73" fillId="0" borderId="10" xfId="0" applyNumberFormat="1" applyFont="1" applyBorder="1" applyAlignment="1">
      <alignment vertical="top"/>
    </xf>
    <xf numFmtId="3" fontId="74" fillId="0" borderId="12" xfId="0" applyNumberFormat="1" applyFont="1" applyBorder="1" applyAlignment="1">
      <alignment wrapText="1"/>
    </xf>
    <xf numFmtId="3" fontId="72" fillId="0" borderId="12" xfId="0" applyNumberFormat="1" applyFont="1" applyBorder="1" applyAlignment="1">
      <alignment wrapText="1"/>
    </xf>
    <xf numFmtId="3" fontId="75" fillId="0" borderId="11" xfId="42" applyNumberFormat="1" applyFont="1" applyBorder="1" applyAlignment="1">
      <alignment/>
    </xf>
    <xf numFmtId="3" fontId="72" fillId="38" borderId="11" xfId="42" applyNumberFormat="1" applyFont="1" applyFill="1" applyBorder="1" applyAlignment="1">
      <alignment/>
    </xf>
    <xf numFmtId="3" fontId="72" fillId="33" borderId="11" xfId="42" applyNumberFormat="1" applyFont="1" applyFill="1" applyBorder="1" applyAlignment="1">
      <alignment/>
    </xf>
    <xf numFmtId="3" fontId="4" fillId="38" borderId="11" xfId="42" applyNumberFormat="1" applyFont="1" applyFill="1" applyBorder="1" applyAlignment="1">
      <alignment/>
    </xf>
    <xf numFmtId="3" fontId="74" fillId="41" borderId="12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179" fontId="4" fillId="0" borderId="10" xfId="45" applyNumberFormat="1" applyFont="1" applyBorder="1" applyAlignment="1">
      <alignment/>
    </xf>
    <xf numFmtId="179" fontId="74" fillId="33" borderId="10" xfId="42" applyNumberFormat="1" applyFont="1" applyFill="1" applyBorder="1" applyAlignment="1">
      <alignment horizontal="right"/>
    </xf>
    <xf numFmtId="0" fontId="80" fillId="0" borderId="10" xfId="0" applyFont="1" applyBorder="1" applyAlignment="1">
      <alignment/>
    </xf>
    <xf numFmtId="0" fontId="73" fillId="0" borderId="10" xfId="0" applyFont="1" applyBorder="1" applyAlignment="1">
      <alignment wrapText="1"/>
    </xf>
    <xf numFmtId="3" fontId="75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38" borderId="10" xfId="0" applyFont="1" applyFill="1" applyBorder="1" applyAlignment="1">
      <alignment/>
    </xf>
    <xf numFmtId="0" fontId="73" fillId="39" borderId="10" xfId="0" applyFont="1" applyFill="1" applyBorder="1" applyAlignment="1">
      <alignment/>
    </xf>
    <xf numFmtId="0" fontId="73" fillId="34" borderId="10" xfId="0" applyFont="1" applyFill="1" applyBorder="1" applyAlignment="1">
      <alignment/>
    </xf>
    <xf numFmtId="3" fontId="75" fillId="34" borderId="10" xfId="0" applyNumberFormat="1" applyFont="1" applyFill="1" applyBorder="1" applyAlignment="1">
      <alignment/>
    </xf>
    <xf numFmtId="49" fontId="72" fillId="0" borderId="10" xfId="0" applyNumberFormat="1" applyFont="1" applyFill="1" applyBorder="1" applyAlignment="1">
      <alignment horizontal="center"/>
    </xf>
    <xf numFmtId="4" fontId="73" fillId="0" borderId="10" xfId="0" applyNumberFormat="1" applyFont="1" applyBorder="1" applyAlignment="1">
      <alignment/>
    </xf>
    <xf numFmtId="49" fontId="73" fillId="0" borderId="10" xfId="0" applyNumberFormat="1" applyFont="1" applyFill="1" applyBorder="1" applyAlignment="1">
      <alignment/>
    </xf>
    <xf numFmtId="49" fontId="72" fillId="33" borderId="10" xfId="0" applyNumberFormat="1" applyFont="1" applyFill="1" applyBorder="1" applyAlignment="1">
      <alignment/>
    </xf>
    <xf numFmtId="49" fontId="72" fillId="39" borderId="10" xfId="0" applyNumberFormat="1" applyFont="1" applyFill="1" applyBorder="1" applyAlignment="1">
      <alignment horizontal="left"/>
    </xf>
    <xf numFmtId="3" fontId="72" fillId="39" borderId="10" xfId="0" applyNumberFormat="1" applyFont="1" applyFill="1" applyBorder="1" applyAlignment="1">
      <alignment/>
    </xf>
    <xf numFmtId="49" fontId="73" fillId="0" borderId="10" xfId="0" applyNumberFormat="1" applyFont="1" applyBorder="1" applyAlignment="1">
      <alignment/>
    </xf>
    <xf numFmtId="49" fontId="72" fillId="0" borderId="10" xfId="0" applyNumberFormat="1" applyFont="1" applyFill="1" applyBorder="1" applyAlignment="1">
      <alignment/>
    </xf>
    <xf numFmtId="0" fontId="72" fillId="0" borderId="10" xfId="0" applyFont="1" applyBorder="1" applyAlignment="1">
      <alignment horizontal="left"/>
    </xf>
    <xf numFmtId="49" fontId="72" fillId="0" borderId="10" xfId="0" applyNumberFormat="1" applyFont="1" applyBorder="1" applyAlignment="1">
      <alignment horizontal="left"/>
    </xf>
    <xf numFmtId="0" fontId="73" fillId="38" borderId="10" xfId="0" applyFont="1" applyFill="1" applyBorder="1" applyAlignment="1">
      <alignment/>
    </xf>
    <xf numFmtId="3" fontId="72" fillId="38" borderId="10" xfId="0" applyNumberFormat="1" applyFont="1" applyFill="1" applyBorder="1" applyAlignment="1">
      <alignment/>
    </xf>
    <xf numFmtId="3" fontId="74" fillId="33" borderId="11" xfId="0" applyNumberFormat="1" applyFont="1" applyFill="1" applyBorder="1" applyAlignment="1">
      <alignment/>
    </xf>
    <xf numFmtId="0" fontId="7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81" fillId="0" borderId="10" xfId="0" applyNumberFormat="1" applyFont="1" applyBorder="1" applyAlignment="1">
      <alignment/>
    </xf>
    <xf numFmtId="49" fontId="73" fillId="0" borderId="10" xfId="0" applyNumberFormat="1" applyFont="1" applyFill="1" applyBorder="1" applyAlignment="1">
      <alignment horizontal="left"/>
    </xf>
    <xf numFmtId="0" fontId="77" fillId="0" borderId="10" xfId="0" applyFont="1" applyBorder="1" applyAlignment="1">
      <alignment horizontal="left"/>
    </xf>
    <xf numFmtId="3" fontId="75" fillId="0" borderId="10" xfId="0" applyNumberFormat="1" applyFont="1" applyBorder="1" applyAlignment="1">
      <alignment/>
    </xf>
    <xf numFmtId="0" fontId="0" fillId="0" borderId="0" xfId="0" applyAlignment="1">
      <alignment/>
    </xf>
    <xf numFmtId="3" fontId="74" fillId="0" borderId="12" xfId="0" applyNumberFormat="1" applyFont="1" applyBorder="1" applyAlignment="1">
      <alignment vertical="top" wrapText="1"/>
    </xf>
    <xf numFmtId="0" fontId="71" fillId="0" borderId="10" xfId="0" applyFont="1" applyBorder="1" applyAlignment="1">
      <alignment horizontal="left"/>
    </xf>
    <xf numFmtId="0" fontId="75" fillId="0" borderId="0" xfId="0" applyFont="1" applyFill="1" applyAlignment="1">
      <alignment/>
    </xf>
    <xf numFmtId="0" fontId="2" fillId="41" borderId="11" xfId="42" applyNumberFormat="1" applyFont="1" applyFill="1" applyBorder="1" applyAlignment="1">
      <alignment horizontal="left" vertical="top"/>
    </xf>
    <xf numFmtId="0" fontId="2" fillId="0" borderId="11" xfId="42" applyNumberFormat="1" applyFont="1" applyFill="1" applyBorder="1" applyAlignment="1">
      <alignment horizontal="left" vertical="top"/>
    </xf>
    <xf numFmtId="0" fontId="2" fillId="0" borderId="10" xfId="42" applyNumberFormat="1" applyFont="1" applyBorder="1" applyAlignment="1">
      <alignment vertical="top"/>
    </xf>
    <xf numFmtId="3" fontId="2" fillId="0" borderId="11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179" fontId="4" fillId="0" borderId="11" xfId="42" applyNumberFormat="1" applyFont="1" applyFill="1" applyBorder="1" applyAlignment="1">
      <alignment vertical="top"/>
    </xf>
    <xf numFmtId="0" fontId="2" fillId="0" borderId="10" xfId="42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73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3" fontId="2" fillId="0" borderId="10" xfId="0" applyNumberFormat="1" applyFont="1" applyFill="1" applyBorder="1" applyAlignment="1">
      <alignment vertical="top"/>
    </xf>
    <xf numFmtId="0" fontId="77" fillId="0" borderId="11" xfId="42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4" fillId="0" borderId="11" xfId="42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2" fillId="34" borderId="11" xfId="0" applyFont="1" applyFill="1" applyBorder="1" applyAlignment="1">
      <alignment vertical="top"/>
    </xf>
    <xf numFmtId="3" fontId="73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2" fillId="0" borderId="11" xfId="42" applyNumberFormat="1" applyFont="1" applyFill="1" applyBorder="1" applyAlignment="1">
      <alignment horizontal="left"/>
    </xf>
    <xf numFmtId="0" fontId="2" fillId="0" borderId="10" xfId="42" applyNumberFormat="1" applyFont="1" applyBorder="1" applyAlignment="1">
      <alignment/>
    </xf>
    <xf numFmtId="179" fontId="4" fillId="0" borderId="11" xfId="42" applyNumberFormat="1" applyFont="1" applyFill="1" applyBorder="1" applyAlignment="1">
      <alignment/>
    </xf>
    <xf numFmtId="0" fontId="77" fillId="0" borderId="11" xfId="0" applyFont="1" applyBorder="1" applyAlignment="1">
      <alignment horizontal="left"/>
    </xf>
    <xf numFmtId="3" fontId="74" fillId="35" borderId="12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0" fontId="72" fillId="0" borderId="10" xfId="0" applyFont="1" applyBorder="1" applyAlignment="1">
      <alignment vertical="top"/>
    </xf>
    <xf numFmtId="3" fontId="73" fillId="34" borderId="0" xfId="0" applyNumberFormat="1" applyFont="1" applyFill="1" applyAlignment="1">
      <alignment/>
    </xf>
    <xf numFmtId="0" fontId="72" fillId="0" borderId="10" xfId="0" applyFont="1" applyFill="1" applyBorder="1" applyAlignment="1">
      <alignment horizontal="left"/>
    </xf>
    <xf numFmtId="0" fontId="72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3" fillId="34" borderId="1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77" fillId="0" borderId="10" xfId="0" applyFont="1" applyFill="1" applyBorder="1" applyAlignment="1">
      <alignment horizontal="left"/>
    </xf>
    <xf numFmtId="0" fontId="4" fillId="0" borderId="10" xfId="60" applyFont="1" applyFill="1" applyBorder="1" applyAlignment="1">
      <alignment horizontal="left"/>
      <protection/>
    </xf>
    <xf numFmtId="0" fontId="73" fillId="39" borderId="10" xfId="0" applyFont="1" applyFill="1" applyBorder="1" applyAlignment="1">
      <alignment horizontal="left"/>
    </xf>
    <xf numFmtId="0" fontId="73" fillId="0" borderId="10" xfId="0" applyNumberFormat="1" applyFont="1" applyBorder="1" applyAlignment="1">
      <alignment horizontal="left"/>
    </xf>
    <xf numFmtId="0" fontId="72" fillId="34" borderId="10" xfId="0" applyFont="1" applyFill="1" applyBorder="1" applyAlignment="1">
      <alignment horizontal="left"/>
    </xf>
    <xf numFmtId="3" fontId="72" fillId="0" borderId="12" xfId="0" applyNumberFormat="1" applyFont="1" applyBorder="1" applyAlignment="1">
      <alignment vertical="top" wrapText="1"/>
    </xf>
    <xf numFmtId="0" fontId="73" fillId="0" borderId="0" xfId="0" applyFont="1" applyAlignment="1">
      <alignment vertical="top"/>
    </xf>
    <xf numFmtId="3" fontId="73" fillId="34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 horizontal="left"/>
    </xf>
    <xf numFmtId="0" fontId="72" fillId="39" borderId="11" xfId="0" applyFont="1" applyFill="1" applyBorder="1" applyAlignment="1">
      <alignment horizontal="left"/>
    </xf>
    <xf numFmtId="0" fontId="72" fillId="33" borderId="11" xfId="0" applyFont="1" applyFill="1" applyBorder="1" applyAlignment="1">
      <alignment horizontal="left"/>
    </xf>
    <xf numFmtId="3" fontId="2" fillId="0" borderId="10" xfId="0" applyNumberFormat="1" applyFont="1" applyBorder="1" applyAlignment="1">
      <alignment/>
    </xf>
    <xf numFmtId="0" fontId="72" fillId="0" borderId="11" xfId="0" applyFont="1" applyFill="1" applyBorder="1" applyAlignment="1">
      <alignment horizontal="left"/>
    </xf>
    <xf numFmtId="0" fontId="72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72" fillId="0" borderId="10" xfId="0" applyFont="1" applyFill="1" applyBorder="1" applyAlignment="1">
      <alignment horizontal="left" vertical="top"/>
    </xf>
    <xf numFmtId="0" fontId="78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/>
    </xf>
    <xf numFmtId="0" fontId="73" fillId="0" borderId="0" xfId="0" applyFont="1" applyAlignment="1">
      <alignment horizontal="left"/>
    </xf>
    <xf numFmtId="3" fontId="74" fillId="33" borderId="10" xfId="0" applyNumberFormat="1" applyFont="1" applyFill="1" applyBorder="1" applyAlignment="1">
      <alignment vertical="top"/>
    </xf>
    <xf numFmtId="3" fontId="71" fillId="0" borderId="10" xfId="0" applyNumberFormat="1" applyFont="1" applyBorder="1" applyAlignment="1">
      <alignment/>
    </xf>
    <xf numFmtId="0" fontId="71" fillId="0" borderId="0" xfId="0" applyFont="1" applyAlignment="1">
      <alignment horizontal="left"/>
    </xf>
    <xf numFmtId="0" fontId="4" fillId="34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73" fillId="39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82" fillId="0" borderId="13" xfId="0" applyNumberFormat="1" applyFont="1" applyBorder="1" applyAlignment="1">
      <alignment horizontal="right" wrapText="1"/>
    </xf>
    <xf numFmtId="0" fontId="82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3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82" fillId="0" borderId="10" xfId="0" applyFont="1" applyBorder="1" applyAlignment="1">
      <alignment vertical="top" wrapText="1"/>
    </xf>
    <xf numFmtId="0" fontId="82" fillId="0" borderId="10" xfId="0" applyFont="1" applyBorder="1" applyAlignment="1">
      <alignment vertical="top"/>
    </xf>
    <xf numFmtId="0" fontId="83" fillId="0" borderId="10" xfId="0" applyFont="1" applyBorder="1" applyAlignment="1">
      <alignment vertical="top" wrapText="1"/>
    </xf>
    <xf numFmtId="3" fontId="83" fillId="0" borderId="10" xfId="0" applyNumberFormat="1" applyFont="1" applyBorder="1" applyAlignment="1">
      <alignment vertical="top" wrapText="1"/>
    </xf>
    <xf numFmtId="3" fontId="83" fillId="0" borderId="10" xfId="0" applyNumberFormat="1" applyFont="1" applyBorder="1" applyAlignment="1">
      <alignment horizontal="right" vertical="top" wrapText="1"/>
    </xf>
    <xf numFmtId="0" fontId="83" fillId="0" borderId="10" xfId="0" applyFont="1" applyFill="1" applyBorder="1" applyAlignment="1">
      <alignment horizontal="left"/>
    </xf>
    <xf numFmtId="3" fontId="82" fillId="0" borderId="10" xfId="0" applyNumberFormat="1" applyFont="1" applyBorder="1" applyAlignment="1">
      <alignment horizontal="right" vertical="top" wrapText="1"/>
    </xf>
    <xf numFmtId="3" fontId="82" fillId="0" borderId="10" xfId="0" applyNumberFormat="1" applyFont="1" applyBorder="1" applyAlignment="1">
      <alignment vertical="top" wrapText="1"/>
    </xf>
    <xf numFmtId="3" fontId="83" fillId="0" borderId="10" xfId="0" applyNumberFormat="1" applyFont="1" applyBorder="1" applyAlignment="1">
      <alignment vertical="top"/>
    </xf>
    <xf numFmtId="0" fontId="82" fillId="0" borderId="10" xfId="0" applyFont="1" applyFill="1" applyBorder="1" applyAlignment="1">
      <alignment horizontal="left"/>
    </xf>
    <xf numFmtId="0" fontId="82" fillId="0" borderId="10" xfId="0" applyFont="1" applyBorder="1" applyAlignment="1">
      <alignment horizontal="center" vertical="top" wrapText="1"/>
    </xf>
    <xf numFmtId="3" fontId="84" fillId="0" borderId="10" xfId="0" applyNumberFormat="1" applyFont="1" applyBorder="1" applyAlignment="1">
      <alignment horizontal="right" vertical="top" wrapText="1"/>
    </xf>
    <xf numFmtId="3" fontId="85" fillId="0" borderId="10" xfId="0" applyNumberFormat="1" applyFont="1" applyBorder="1" applyAlignment="1">
      <alignment horizontal="right" vertical="top" wrapText="1"/>
    </xf>
    <xf numFmtId="0" fontId="82" fillId="0" borderId="10" xfId="0" applyFont="1" applyBorder="1" applyAlignment="1">
      <alignment horizontal="left" vertical="top" wrapText="1"/>
    </xf>
    <xf numFmtId="0" fontId="82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horizontal="left" vertical="top" wrapText="1"/>
    </xf>
    <xf numFmtId="0" fontId="83" fillId="0" borderId="10" xfId="0" applyFont="1" applyBorder="1" applyAlignment="1">
      <alignment wrapText="1"/>
    </xf>
    <xf numFmtId="3" fontId="83" fillId="0" borderId="10" xfId="0" applyNumberFormat="1" applyFont="1" applyBorder="1" applyAlignment="1">
      <alignment horizontal="right" wrapText="1"/>
    </xf>
    <xf numFmtId="3" fontId="82" fillId="0" borderId="10" xfId="0" applyNumberFormat="1" applyFont="1" applyBorder="1" applyAlignment="1">
      <alignment horizontal="right" wrapText="1"/>
    </xf>
    <xf numFmtId="3" fontId="85" fillId="0" borderId="10" xfId="0" applyNumberFormat="1" applyFont="1" applyBorder="1" applyAlignment="1">
      <alignment horizontal="right" wrapText="1"/>
    </xf>
    <xf numFmtId="3" fontId="84" fillId="0" borderId="10" xfId="0" applyNumberFormat="1" applyFont="1" applyBorder="1" applyAlignment="1">
      <alignment horizontal="right" wrapText="1"/>
    </xf>
    <xf numFmtId="179" fontId="0" fillId="0" borderId="0" xfId="42" applyNumberFormat="1" applyFont="1" applyAlignment="1">
      <alignment/>
    </xf>
    <xf numFmtId="0" fontId="82" fillId="0" borderId="10" xfId="0" applyFont="1" applyBorder="1" applyAlignment="1">
      <alignment horizontal="left"/>
    </xf>
    <xf numFmtId="0" fontId="82" fillId="0" borderId="10" xfId="0" applyFont="1" applyFill="1" applyBorder="1" applyAlignment="1">
      <alignment horizontal="left" vertical="top"/>
    </xf>
    <xf numFmtId="0" fontId="82" fillId="0" borderId="10" xfId="0" applyFont="1" applyFill="1" applyBorder="1" applyAlignment="1">
      <alignment/>
    </xf>
    <xf numFmtId="0" fontId="86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179" fontId="82" fillId="0" borderId="10" xfId="42" applyNumberFormat="1" applyFont="1" applyBorder="1" applyAlignment="1">
      <alignment vertical="top" wrapText="1"/>
    </xf>
    <xf numFmtId="179" fontId="82" fillId="0" borderId="10" xfId="42" applyNumberFormat="1" applyFont="1" applyBorder="1" applyAlignment="1">
      <alignment vertical="top"/>
    </xf>
    <xf numFmtId="179" fontId="83" fillId="0" borderId="10" xfId="42" applyNumberFormat="1" applyFont="1" applyBorder="1" applyAlignment="1">
      <alignment vertical="top" wrapText="1"/>
    </xf>
    <xf numFmtId="179" fontId="83" fillId="0" borderId="10" xfId="42" applyNumberFormat="1" applyFont="1" applyBorder="1" applyAlignment="1">
      <alignment vertical="top"/>
    </xf>
    <xf numFmtId="179" fontId="82" fillId="0" borderId="10" xfId="42" applyNumberFormat="1" applyFont="1" applyBorder="1" applyAlignment="1">
      <alignment horizontal="right" vertical="top" wrapText="1"/>
    </xf>
    <xf numFmtId="179" fontId="83" fillId="0" borderId="10" xfId="42" applyNumberFormat="1" applyFont="1" applyBorder="1" applyAlignment="1">
      <alignment horizontal="right" vertical="top" wrapText="1"/>
    </xf>
    <xf numFmtId="0" fontId="83" fillId="0" borderId="10" xfId="0" applyFont="1" applyBorder="1" applyAlignment="1">
      <alignment horizontal="left" vertical="top" wrapText="1"/>
    </xf>
    <xf numFmtId="0" fontId="83" fillId="0" borderId="10" xfId="0" applyFont="1" applyFill="1" applyBorder="1" applyAlignment="1">
      <alignment/>
    </xf>
    <xf numFmtId="0" fontId="83" fillId="0" borderId="10" xfId="0" applyFont="1" applyFill="1" applyBorder="1" applyAlignment="1">
      <alignment horizontal="left" vertical="top"/>
    </xf>
    <xf numFmtId="0" fontId="82" fillId="0" borderId="10" xfId="0" applyFont="1" applyBorder="1" applyAlignment="1">
      <alignment wrapText="1"/>
    </xf>
    <xf numFmtId="0" fontId="82" fillId="0" borderId="10" xfId="0" applyFont="1" applyBorder="1" applyAlignment="1">
      <alignment/>
    </xf>
    <xf numFmtId="179" fontId="82" fillId="0" borderId="10" xfId="42" applyNumberFormat="1" applyFont="1" applyBorder="1" applyAlignment="1">
      <alignment wrapText="1"/>
    </xf>
    <xf numFmtId="179" fontId="82" fillId="0" borderId="10" xfId="42" applyNumberFormat="1" applyFont="1" applyBorder="1" applyAlignment="1">
      <alignment/>
    </xf>
    <xf numFmtId="179" fontId="82" fillId="0" borderId="10" xfId="42" applyNumberFormat="1" applyFont="1" applyBorder="1" applyAlignment="1">
      <alignment horizontal="right" wrapText="1"/>
    </xf>
    <xf numFmtId="179" fontId="83" fillId="0" borderId="10" xfId="42" applyNumberFormat="1" applyFont="1" applyBorder="1" applyAlignment="1">
      <alignment horizontal="right" wrapText="1"/>
    </xf>
    <xf numFmtId="3" fontId="83" fillId="0" borderId="10" xfId="0" applyNumberFormat="1" applyFont="1" applyBorder="1" applyAlignment="1">
      <alignment wrapText="1"/>
    </xf>
    <xf numFmtId="179" fontId="83" fillId="0" borderId="10" xfId="42" applyNumberFormat="1" applyFont="1" applyBorder="1" applyAlignment="1">
      <alignment wrapText="1"/>
    </xf>
    <xf numFmtId="179" fontId="83" fillId="0" borderId="10" xfId="42" applyNumberFormat="1" applyFont="1" applyBorder="1" applyAlignment="1">
      <alignment/>
    </xf>
    <xf numFmtId="179" fontId="86" fillId="0" borderId="0" xfId="42" applyNumberFormat="1" applyFont="1" applyAlignment="1">
      <alignment/>
    </xf>
    <xf numFmtId="49" fontId="82" fillId="39" borderId="10" xfId="0" applyNumberFormat="1" applyFont="1" applyFill="1" applyBorder="1" applyAlignment="1">
      <alignment horizontal="left"/>
    </xf>
    <xf numFmtId="49" fontId="82" fillId="0" borderId="10" xfId="0" applyNumberFormat="1" applyFont="1" applyFill="1" applyBorder="1" applyAlignment="1">
      <alignment/>
    </xf>
    <xf numFmtId="49" fontId="82" fillId="0" borderId="10" xfId="0" applyNumberFormat="1" applyFont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83" fillId="39" borderId="11" xfId="0" applyFont="1" applyFill="1" applyBorder="1" applyAlignment="1">
      <alignment horizontal="left" wrapText="1"/>
    </xf>
    <xf numFmtId="0" fontId="83" fillId="39" borderId="1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wrapText="1"/>
    </xf>
    <xf numFmtId="0" fontId="82" fillId="39" borderId="10" xfId="0" applyFont="1" applyFill="1" applyBorder="1" applyAlignment="1">
      <alignment horizontal="left" wrapText="1"/>
    </xf>
    <xf numFmtId="0" fontId="82" fillId="39" borderId="10" xfId="0" applyFont="1" applyFill="1" applyBorder="1" applyAlignment="1">
      <alignment horizontal="left" vertical="top"/>
    </xf>
    <xf numFmtId="0" fontId="87" fillId="0" borderId="0" xfId="0" applyFont="1" applyFill="1" applyAlignment="1">
      <alignment/>
    </xf>
    <xf numFmtId="0" fontId="4" fillId="0" borderId="10" xfId="42" applyNumberFormat="1" applyFont="1" applyBorder="1" applyAlignment="1">
      <alignment vertical="top"/>
    </xf>
    <xf numFmtId="0" fontId="71" fillId="33" borderId="0" xfId="0" applyFont="1" applyFill="1" applyAlignment="1">
      <alignment/>
    </xf>
    <xf numFmtId="3" fontId="71" fillId="33" borderId="0" xfId="0" applyNumberFormat="1" applyFont="1" applyFill="1" applyAlignment="1">
      <alignment/>
    </xf>
    <xf numFmtId="0" fontId="82" fillId="0" borderId="10" xfId="0" applyFont="1" applyBorder="1" applyAlignment="1">
      <alignment vertical="top" wrapText="1"/>
    </xf>
    <xf numFmtId="0" fontId="82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wrapText="1"/>
    </xf>
    <xf numFmtId="179" fontId="82" fillId="0" borderId="10" xfId="42" applyNumberFormat="1" applyFont="1" applyBorder="1" applyAlignment="1">
      <alignment vertical="top" wrapText="1"/>
    </xf>
    <xf numFmtId="0" fontId="82" fillId="0" borderId="10" xfId="0" applyFont="1" applyBorder="1" applyAlignment="1">
      <alignment horizontal="center" wrapText="1"/>
    </xf>
    <xf numFmtId="0" fontId="69" fillId="0" borderId="0" xfId="0" applyFont="1" applyFill="1" applyAlignment="1">
      <alignment/>
    </xf>
    <xf numFmtId="3" fontId="74" fillId="0" borderId="10" xfId="0" applyNumberFormat="1" applyFont="1" applyFill="1" applyBorder="1" applyAlignment="1">
      <alignment vertical="top"/>
    </xf>
    <xf numFmtId="0" fontId="72" fillId="38" borderId="10" xfId="0" applyFont="1" applyFill="1" applyBorder="1" applyAlignment="1">
      <alignment horizontal="left"/>
    </xf>
    <xf numFmtId="0" fontId="72" fillId="38" borderId="10" xfId="0" applyFont="1" applyFill="1" applyBorder="1" applyAlignment="1">
      <alignment/>
    </xf>
    <xf numFmtId="3" fontId="74" fillId="38" borderId="10" xfId="0" applyNumberFormat="1" applyFont="1" applyFill="1" applyBorder="1" applyAlignment="1">
      <alignment/>
    </xf>
    <xf numFmtId="3" fontId="74" fillId="38" borderId="10" xfId="0" applyNumberFormat="1" applyFont="1" applyFill="1" applyBorder="1" applyAlignment="1">
      <alignment vertical="top"/>
    </xf>
    <xf numFmtId="49" fontId="72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 horizontal="left"/>
    </xf>
    <xf numFmtId="0" fontId="0" fillId="38" borderId="10" xfId="0" applyFill="1" applyBorder="1" applyAlignment="1">
      <alignment/>
    </xf>
    <xf numFmtId="0" fontId="71" fillId="38" borderId="10" xfId="0" applyFont="1" applyFill="1" applyBorder="1" applyAlignment="1">
      <alignment horizontal="left"/>
    </xf>
    <xf numFmtId="0" fontId="71" fillId="38" borderId="10" xfId="0" applyFont="1" applyFill="1" applyBorder="1" applyAlignment="1">
      <alignment/>
    </xf>
    <xf numFmtId="0" fontId="72" fillId="38" borderId="10" xfId="0" applyFont="1" applyFill="1" applyBorder="1" applyAlignment="1">
      <alignment wrapText="1"/>
    </xf>
    <xf numFmtId="0" fontId="72" fillId="33" borderId="10" xfId="0" applyFont="1" applyFill="1" applyBorder="1" applyAlignment="1">
      <alignment wrapText="1"/>
    </xf>
    <xf numFmtId="0" fontId="72" fillId="38" borderId="10" xfId="0" applyFont="1" applyFill="1" applyBorder="1" applyAlignment="1">
      <alignment vertical="top" wrapText="1"/>
    </xf>
    <xf numFmtId="3" fontId="69" fillId="38" borderId="10" xfId="0" applyNumberFormat="1" applyFont="1" applyFill="1" applyBorder="1" applyAlignment="1">
      <alignment/>
    </xf>
    <xf numFmtId="3" fontId="72" fillId="33" borderId="11" xfId="0" applyNumberFormat="1" applyFont="1" applyFill="1" applyBorder="1" applyAlignment="1">
      <alignment/>
    </xf>
    <xf numFmtId="3" fontId="72" fillId="0" borderId="11" xfId="0" applyNumberFormat="1" applyFont="1" applyFill="1" applyBorder="1" applyAlignment="1">
      <alignment/>
    </xf>
    <xf numFmtId="3" fontId="73" fillId="0" borderId="11" xfId="0" applyNumberFormat="1" applyFont="1" applyFill="1" applyBorder="1" applyAlignment="1">
      <alignment/>
    </xf>
    <xf numFmtId="3" fontId="72" fillId="38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72" fillId="33" borderId="10" xfId="0" applyNumberFormat="1" applyFont="1" applyFill="1" applyBorder="1" applyAlignment="1">
      <alignment wrapText="1"/>
    </xf>
    <xf numFmtId="49" fontId="72" fillId="38" borderId="10" xfId="0" applyNumberFormat="1" applyFont="1" applyFill="1" applyBorder="1" applyAlignment="1">
      <alignment vertical="top" wrapText="1"/>
    </xf>
    <xf numFmtId="179" fontId="73" fillId="38" borderId="10" xfId="42" applyNumberFormat="1" applyFont="1" applyFill="1" applyBorder="1" applyAlignment="1">
      <alignment/>
    </xf>
    <xf numFmtId="0" fontId="73" fillId="0" borderId="11" xfId="0" applyFont="1" applyFill="1" applyBorder="1" applyAlignment="1">
      <alignment/>
    </xf>
    <xf numFmtId="0" fontId="72" fillId="38" borderId="11" xfId="0" applyFont="1" applyFill="1" applyBorder="1" applyAlignment="1">
      <alignment horizontal="left"/>
    </xf>
    <xf numFmtId="0" fontId="83" fillId="0" borderId="10" xfId="0" applyFont="1" applyBorder="1" applyAlignment="1">
      <alignment horizontal="left"/>
    </xf>
    <xf numFmtId="0" fontId="72" fillId="0" borderId="14" xfId="0" applyFont="1" applyFill="1" applyBorder="1" applyAlignment="1">
      <alignment/>
    </xf>
    <xf numFmtId="0" fontId="72" fillId="38" borderId="14" xfId="0" applyFont="1" applyFill="1" applyBorder="1" applyAlignment="1">
      <alignment/>
    </xf>
    <xf numFmtId="0" fontId="72" fillId="0" borderId="14" xfId="0" applyFont="1" applyFill="1" applyBorder="1" applyAlignment="1">
      <alignment wrapText="1"/>
    </xf>
    <xf numFmtId="0" fontId="72" fillId="33" borderId="14" xfId="0" applyFont="1" applyFill="1" applyBorder="1" applyAlignment="1">
      <alignment wrapText="1"/>
    </xf>
    <xf numFmtId="0" fontId="83" fillId="0" borderId="14" xfId="0" applyFont="1" applyFill="1" applyBorder="1" applyAlignment="1">
      <alignment vertical="top"/>
    </xf>
    <xf numFmtId="0" fontId="86" fillId="0" borderId="0" xfId="0" applyFont="1" applyAlignment="1">
      <alignment vertical="top"/>
    </xf>
    <xf numFmtId="0" fontId="82" fillId="0" borderId="14" xfId="0" applyFont="1" applyFill="1" applyBorder="1" applyAlignment="1">
      <alignment vertical="top"/>
    </xf>
    <xf numFmtId="0" fontId="82" fillId="0" borderId="10" xfId="0" applyFont="1" applyBorder="1" applyAlignment="1">
      <alignment vertical="top" wrapText="1"/>
    </xf>
    <xf numFmtId="0" fontId="82" fillId="0" borderId="10" xfId="0" applyFont="1" applyBorder="1" applyAlignment="1">
      <alignment horizontal="center" vertical="top" wrapText="1"/>
    </xf>
    <xf numFmtId="179" fontId="82" fillId="0" borderId="10" xfId="42" applyNumberFormat="1" applyFont="1" applyBorder="1" applyAlignment="1">
      <alignment vertical="top" wrapText="1"/>
    </xf>
    <xf numFmtId="3" fontId="72" fillId="0" borderId="11" xfId="42" applyNumberFormat="1" applyFont="1" applyFill="1" applyBorder="1" applyAlignment="1">
      <alignment/>
    </xf>
    <xf numFmtId="3" fontId="4" fillId="33" borderId="11" xfId="42" applyNumberFormat="1" applyFont="1" applyFill="1" applyBorder="1" applyAlignment="1">
      <alignment/>
    </xf>
    <xf numFmtId="3" fontId="4" fillId="0" borderId="11" xfId="42" applyNumberFormat="1" applyFont="1" applyFill="1" applyBorder="1" applyAlignment="1">
      <alignment/>
    </xf>
    <xf numFmtId="3" fontId="4" fillId="35" borderId="11" xfId="42" applyNumberFormat="1" applyFont="1" applyFill="1" applyBorder="1" applyAlignment="1">
      <alignment/>
    </xf>
    <xf numFmtId="0" fontId="6" fillId="0" borderId="10" xfId="42" applyNumberFormat="1" applyFont="1" applyFill="1" applyBorder="1" applyAlignment="1">
      <alignment horizontal="left"/>
    </xf>
    <xf numFmtId="3" fontId="75" fillId="0" borderId="11" xfId="0" applyNumberFormat="1" applyFont="1" applyBorder="1" applyAlignment="1">
      <alignment/>
    </xf>
    <xf numFmtId="3" fontId="73" fillId="0" borderId="11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35" borderId="11" xfId="42" applyNumberFormat="1" applyFont="1" applyFill="1" applyBorder="1" applyAlignment="1">
      <alignment horizontal="left"/>
    </xf>
    <xf numFmtId="0" fontId="4" fillId="35" borderId="10" xfId="42" applyNumberFormat="1" applyFont="1" applyFill="1" applyBorder="1" applyAlignment="1">
      <alignment horizontal="left"/>
    </xf>
    <xf numFmtId="0" fontId="6" fillId="38" borderId="10" xfId="42" applyNumberFormat="1" applyFont="1" applyFill="1" applyBorder="1" applyAlignment="1">
      <alignment horizontal="left"/>
    </xf>
    <xf numFmtId="0" fontId="6" fillId="33" borderId="10" xfId="42" applyNumberFormat="1" applyFont="1" applyFill="1" applyBorder="1" applyAlignment="1">
      <alignment horizontal="left"/>
    </xf>
    <xf numFmtId="0" fontId="6" fillId="33" borderId="11" xfId="42" applyNumberFormat="1" applyFont="1" applyFill="1" applyBorder="1" applyAlignment="1">
      <alignment horizontal="left"/>
    </xf>
    <xf numFmtId="0" fontId="6" fillId="41" borderId="10" xfId="0" applyNumberFormat="1" applyFont="1" applyFill="1" applyBorder="1" applyAlignment="1">
      <alignment horizontal="left"/>
    </xf>
    <xf numFmtId="0" fontId="6" fillId="39" borderId="10" xfId="0" applyNumberFormat="1" applyFont="1" applyFill="1" applyBorder="1" applyAlignment="1">
      <alignment horizontal="left"/>
    </xf>
    <xf numFmtId="0" fontId="5" fillId="39" borderId="10" xfId="42" applyNumberFormat="1" applyFont="1" applyFill="1" applyBorder="1" applyAlignment="1" quotePrefix="1">
      <alignment horizontal="left"/>
    </xf>
    <xf numFmtId="0" fontId="6" fillId="39" borderId="10" xfId="42" applyNumberFormat="1" applyFont="1" applyFill="1" applyBorder="1" applyAlignment="1">
      <alignment horizontal="left"/>
    </xf>
    <xf numFmtId="0" fontId="5" fillId="0" borderId="10" xfId="42" applyNumberFormat="1" applyFont="1" applyFill="1" applyBorder="1" applyAlignment="1">
      <alignment horizontal="left"/>
    </xf>
    <xf numFmtId="0" fontId="4" fillId="33" borderId="10" xfId="42" applyNumberFormat="1" applyFont="1" applyFill="1" applyBorder="1" applyAlignment="1">
      <alignment horizontal="left"/>
    </xf>
    <xf numFmtId="0" fontId="73" fillId="0" borderId="10" xfId="0" applyNumberFormat="1" applyFont="1" applyFill="1" applyBorder="1" applyAlignment="1">
      <alignment horizontal="left"/>
    </xf>
    <xf numFmtId="0" fontId="4" fillId="0" borderId="10" xfId="42" applyNumberFormat="1" applyFont="1" applyFill="1" applyBorder="1" applyAlignment="1">
      <alignment horizontal="left"/>
    </xf>
    <xf numFmtId="0" fontId="2" fillId="39" borderId="10" xfId="42" applyNumberFormat="1" applyFont="1" applyFill="1" applyBorder="1" applyAlignment="1">
      <alignment horizontal="left"/>
    </xf>
    <xf numFmtId="0" fontId="2" fillId="33" borderId="10" xfId="42" applyNumberFormat="1" applyFont="1" applyFill="1" applyBorder="1" applyAlignment="1">
      <alignment horizontal="left"/>
    </xf>
    <xf numFmtId="0" fontId="75" fillId="0" borderId="0" xfId="0" applyNumberFormat="1" applyFont="1" applyAlignment="1">
      <alignment horizontal="left"/>
    </xf>
    <xf numFmtId="0" fontId="4" fillId="33" borderId="10" xfId="42" applyNumberFormat="1" applyFont="1" applyFill="1" applyBorder="1" applyAlignment="1">
      <alignment horizontal="left" wrapText="1"/>
    </xf>
    <xf numFmtId="0" fontId="72" fillId="0" borderId="10" xfId="0" applyNumberFormat="1" applyFont="1" applyBorder="1" applyAlignment="1">
      <alignment horizontal="left" vertical="top"/>
    </xf>
    <xf numFmtId="0" fontId="88" fillId="39" borderId="10" xfId="42" applyNumberFormat="1" applyFont="1" applyFill="1" applyBorder="1" applyAlignment="1">
      <alignment horizontal="left"/>
    </xf>
    <xf numFmtId="0" fontId="78" fillId="0" borderId="10" xfId="0" applyNumberFormat="1" applyFont="1" applyBorder="1" applyAlignment="1">
      <alignment horizontal="left"/>
    </xf>
    <xf numFmtId="0" fontId="77" fillId="0" borderId="10" xfId="0" applyNumberFormat="1" applyFont="1" applyBorder="1" applyAlignment="1">
      <alignment horizontal="left"/>
    </xf>
    <xf numFmtId="0" fontId="6" fillId="33" borderId="15" xfId="42" applyNumberFormat="1" applyFont="1" applyFill="1" applyBorder="1" applyAlignment="1">
      <alignment horizontal="left"/>
    </xf>
    <xf numFmtId="0" fontId="4" fillId="39" borderId="11" xfId="42" applyNumberFormat="1" applyFont="1" applyFill="1" applyBorder="1" applyAlignment="1">
      <alignment horizontal="left"/>
    </xf>
    <xf numFmtId="0" fontId="75" fillId="0" borderId="10" xfId="0" applyNumberFormat="1" applyFont="1" applyBorder="1" applyAlignment="1">
      <alignment horizontal="left"/>
    </xf>
    <xf numFmtId="3" fontId="7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3" fontId="4" fillId="33" borderId="11" xfId="42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8" fillId="0" borderId="10" xfId="42" applyNumberFormat="1" applyFont="1" applyFill="1" applyBorder="1" applyAlignment="1">
      <alignment horizontal="left" vertical="top" wrapText="1"/>
    </xf>
    <xf numFmtId="0" fontId="8" fillId="0" borderId="10" xfId="42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/>
    </xf>
    <xf numFmtId="0" fontId="9" fillId="0" borderId="10" xfId="0" applyNumberFormat="1" applyFont="1" applyFill="1" applyBorder="1" applyAlignment="1">
      <alignment horizontal="left" vertical="top"/>
    </xf>
    <xf numFmtId="0" fontId="9" fillId="0" borderId="10" xfId="42" applyNumberFormat="1" applyFont="1" applyFill="1" applyBorder="1" applyAlignment="1">
      <alignment horizontal="left" vertical="top" wrapText="1"/>
    </xf>
    <xf numFmtId="0" fontId="9" fillId="0" borderId="10" xfId="42" applyNumberFormat="1" applyFont="1" applyFill="1" applyBorder="1" applyAlignment="1">
      <alignment horizontal="left" vertical="top"/>
    </xf>
    <xf numFmtId="3" fontId="4" fillId="39" borderId="10" xfId="42" applyNumberFormat="1" applyFont="1" applyFill="1" applyBorder="1" applyAlignment="1">
      <alignment vertical="top" wrapText="1"/>
    </xf>
    <xf numFmtId="3" fontId="72" fillId="39" borderId="10" xfId="42" applyNumberFormat="1" applyFont="1" applyFill="1" applyBorder="1" applyAlignment="1">
      <alignment horizontal="right" vertical="top" wrapText="1"/>
    </xf>
    <xf numFmtId="3" fontId="72" fillId="0" borderId="10" xfId="42" applyNumberFormat="1" applyFont="1" applyBorder="1" applyAlignment="1">
      <alignment vertical="top"/>
    </xf>
    <xf numFmtId="4" fontId="72" fillId="38" borderId="10" xfId="0" applyNumberFormat="1" applyFont="1" applyFill="1" applyBorder="1" applyAlignment="1">
      <alignment/>
    </xf>
    <xf numFmtId="4" fontId="71" fillId="0" borderId="0" xfId="0" applyNumberFormat="1" applyFont="1" applyAlignment="1">
      <alignment/>
    </xf>
    <xf numFmtId="191" fontId="75" fillId="0" borderId="10" xfId="0" applyNumberFormat="1" applyFont="1" applyBorder="1" applyAlignment="1">
      <alignment/>
    </xf>
    <xf numFmtId="191" fontId="74" fillId="33" borderId="10" xfId="0" applyNumberFormat="1" applyFont="1" applyFill="1" applyBorder="1" applyAlignment="1">
      <alignment/>
    </xf>
    <xf numFmtId="0" fontId="5" fillId="39" borderId="10" xfId="0" applyFont="1" applyFill="1" applyBorder="1" applyAlignment="1" quotePrefix="1">
      <alignment horizontal="left"/>
    </xf>
    <xf numFmtId="179" fontId="5" fillId="39" borderId="10" xfId="42" applyNumberFormat="1" applyFont="1" applyFill="1" applyBorder="1" applyAlignment="1">
      <alignment/>
    </xf>
    <xf numFmtId="1" fontId="5" fillId="39" borderId="10" xfId="42" applyNumberFormat="1" applyFont="1" applyFill="1" applyBorder="1" applyAlignment="1" quotePrefix="1">
      <alignment horizontal="left"/>
    </xf>
    <xf numFmtId="179" fontId="5" fillId="39" borderId="10" xfId="42" applyNumberFormat="1" applyFont="1" applyFill="1" applyBorder="1" applyAlignment="1">
      <alignment horizontal="left"/>
    </xf>
    <xf numFmtId="1" fontId="5" fillId="39" borderId="10" xfId="42" applyNumberFormat="1" applyFont="1" applyFill="1" applyBorder="1" applyAlignment="1">
      <alignment horizontal="left"/>
    </xf>
    <xf numFmtId="179" fontId="6" fillId="39" borderId="10" xfId="42" applyNumberFormat="1" applyFont="1" applyFill="1" applyBorder="1" applyAlignment="1">
      <alignment horizontal="left"/>
    </xf>
    <xf numFmtId="179" fontId="88" fillId="39" borderId="10" xfId="42" applyNumberFormat="1" applyFont="1" applyFill="1" applyBorder="1" applyAlignment="1">
      <alignment/>
    </xf>
    <xf numFmtId="179" fontId="6" fillId="39" borderId="10" xfId="42" applyNumberFormat="1" applyFont="1" applyFill="1" applyBorder="1" applyAlignment="1">
      <alignment horizontal="center"/>
    </xf>
    <xf numFmtId="179" fontId="88" fillId="39" borderId="10" xfId="42" applyNumberFormat="1" applyFont="1" applyFill="1" applyBorder="1" applyAlignment="1">
      <alignment horizontal="left"/>
    </xf>
    <xf numFmtId="0" fontId="6" fillId="39" borderId="10" xfId="42" applyNumberFormat="1" applyFont="1" applyFill="1" applyBorder="1" applyAlignment="1">
      <alignment horizontal="center"/>
    </xf>
    <xf numFmtId="1" fontId="6" fillId="39" borderId="10" xfId="42" applyNumberFormat="1" applyFont="1" applyFill="1" applyBorder="1" applyAlignment="1">
      <alignment horizontal="center"/>
    </xf>
    <xf numFmtId="0" fontId="4" fillId="35" borderId="11" xfId="42" applyNumberFormat="1" applyFont="1" applyFill="1" applyBorder="1" applyAlignment="1">
      <alignment horizontal="left" vertical="top"/>
    </xf>
    <xf numFmtId="0" fontId="72" fillId="0" borderId="10" xfId="0" applyFont="1" applyFill="1" applyBorder="1" applyAlignment="1">
      <alignment horizontal="left" vertical="top" wrapText="1"/>
    </xf>
    <xf numFmtId="3" fontId="73" fillId="39" borderId="11" xfId="42" applyNumberFormat="1" applyFont="1" applyFill="1" applyBorder="1" applyAlignment="1">
      <alignment horizontal="right"/>
    </xf>
    <xf numFmtId="0" fontId="72" fillId="36" borderId="10" xfId="0" applyNumberFormat="1" applyFont="1" applyFill="1" applyBorder="1" applyAlignment="1">
      <alignment horizontal="left"/>
    </xf>
    <xf numFmtId="3" fontId="72" fillId="36" borderId="11" xfId="0" applyNumberFormat="1" applyFont="1" applyFill="1" applyBorder="1" applyAlignment="1">
      <alignment/>
    </xf>
    <xf numFmtId="0" fontId="4" fillId="33" borderId="11" xfId="42" applyNumberFormat="1" applyFont="1" applyFill="1" applyBorder="1" applyAlignment="1">
      <alignment horizontal="left" vertical="top"/>
    </xf>
    <xf numFmtId="0" fontId="7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3" fontId="72" fillId="0" borderId="10" xfId="0" applyNumberFormat="1" applyFont="1" applyBorder="1" applyAlignment="1">
      <alignment vertical="top" wrapText="1"/>
    </xf>
    <xf numFmtId="3" fontId="75" fillId="38" borderId="10" xfId="0" applyNumberFormat="1" applyFont="1" applyFill="1" applyBorder="1" applyAlignment="1">
      <alignment/>
    </xf>
    <xf numFmtId="0" fontId="4" fillId="38" borderId="11" xfId="42" applyNumberFormat="1" applyFont="1" applyFill="1" applyBorder="1" applyAlignment="1">
      <alignment horizontal="left" vertical="top"/>
    </xf>
    <xf numFmtId="0" fontId="4" fillId="34" borderId="11" xfId="42" applyNumberFormat="1" applyFont="1" applyFill="1" applyBorder="1" applyAlignment="1">
      <alignment horizontal="left" vertical="top"/>
    </xf>
    <xf numFmtId="0" fontId="73" fillId="0" borderId="11" xfId="0" applyFont="1" applyFill="1" applyBorder="1" applyAlignment="1">
      <alignment vertical="top"/>
    </xf>
    <xf numFmtId="0" fontId="73" fillId="0" borderId="0" xfId="0" applyFont="1" applyFill="1" applyAlignment="1">
      <alignment horizontal="left"/>
    </xf>
    <xf numFmtId="3" fontId="69" fillId="0" borderId="0" xfId="0" applyNumberFormat="1" applyFont="1" applyAlignment="1">
      <alignment/>
    </xf>
    <xf numFmtId="0" fontId="73" fillId="0" borderId="10" xfId="0" applyFont="1" applyBorder="1" applyAlignment="1">
      <alignment vertical="top" wrapText="1"/>
    </xf>
    <xf numFmtId="0" fontId="73" fillId="0" borderId="10" xfId="0" applyFont="1" applyFill="1" applyBorder="1" applyAlignment="1">
      <alignment horizontal="left" vertical="top"/>
    </xf>
    <xf numFmtId="0" fontId="73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71" fillId="0" borderId="0" xfId="0" applyFont="1" applyFill="1" applyAlignment="1">
      <alignment horizontal="left"/>
    </xf>
    <xf numFmtId="0" fontId="73" fillId="0" borderId="16" xfId="0" applyFont="1" applyFill="1" applyBorder="1" applyAlignment="1">
      <alignment/>
    </xf>
    <xf numFmtId="3" fontId="71" fillId="0" borderId="0" xfId="0" applyNumberFormat="1" applyFont="1" applyFill="1" applyAlignment="1">
      <alignment/>
    </xf>
    <xf numFmtId="0" fontId="72" fillId="38" borderId="10" xfId="0" applyFont="1" applyFill="1" applyBorder="1" applyAlignment="1">
      <alignment horizontal="left" vertical="center" wrapText="1"/>
    </xf>
    <xf numFmtId="0" fontId="78" fillId="0" borderId="11" xfId="42" applyNumberFormat="1" applyFont="1" applyFill="1" applyBorder="1" applyAlignment="1">
      <alignment horizontal="left" vertical="top"/>
    </xf>
    <xf numFmtId="0" fontId="2" fillId="34" borderId="11" xfId="42" applyNumberFormat="1" applyFont="1" applyFill="1" applyBorder="1" applyAlignment="1">
      <alignment horizontal="left" vertical="top"/>
    </xf>
    <xf numFmtId="179" fontId="4" fillId="35" borderId="10" xfId="42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/>
    </xf>
    <xf numFmtId="3" fontId="75" fillId="34" borderId="10" xfId="0" applyNumberFormat="1" applyFont="1" applyFill="1" applyBorder="1" applyAlignment="1">
      <alignment/>
    </xf>
    <xf numFmtId="3" fontId="73" fillId="0" borderId="10" xfId="0" applyNumberFormat="1" applyFont="1" applyBorder="1" applyAlignment="1">
      <alignment/>
    </xf>
    <xf numFmtId="0" fontId="73" fillId="35" borderId="10" xfId="0" applyFont="1" applyFill="1" applyBorder="1" applyAlignment="1">
      <alignment/>
    </xf>
    <xf numFmtId="0" fontId="2" fillId="41" borderId="10" xfId="42" applyNumberFormat="1" applyFont="1" applyFill="1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74" fillId="35" borderId="10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vertical="top"/>
    </xf>
    <xf numFmtId="3" fontId="0" fillId="0" borderId="10" xfId="0" applyNumberFormat="1" applyFill="1" applyBorder="1" applyAlignment="1">
      <alignment/>
    </xf>
    <xf numFmtId="0" fontId="72" fillId="35" borderId="14" xfId="0" applyFont="1" applyFill="1" applyBorder="1" applyAlignment="1">
      <alignment horizontal="left" vertical="top" wrapText="1"/>
    </xf>
    <xf numFmtId="3" fontId="72" fillId="35" borderId="10" xfId="0" applyNumberFormat="1" applyFont="1" applyFill="1" applyBorder="1" applyAlignment="1">
      <alignment horizontal="center" wrapText="1"/>
    </xf>
    <xf numFmtId="0" fontId="72" fillId="35" borderId="10" xfId="0" applyFont="1" applyFill="1" applyBorder="1" applyAlignment="1">
      <alignment vertical="top"/>
    </xf>
    <xf numFmtId="0" fontId="72" fillId="35" borderId="10" xfId="0" applyFont="1" applyFill="1" applyBorder="1" applyAlignment="1">
      <alignment vertical="top" wrapText="1"/>
    </xf>
    <xf numFmtId="37" fontId="73" fillId="0" borderId="10" xfId="0" applyNumberFormat="1" applyFont="1" applyBorder="1" applyAlignment="1">
      <alignment/>
    </xf>
    <xf numFmtId="3" fontId="73" fillId="0" borderId="14" xfId="0" applyNumberFormat="1" applyFont="1" applyBorder="1" applyAlignment="1">
      <alignment vertical="top"/>
    </xf>
    <xf numFmtId="3" fontId="74" fillId="0" borderId="10" xfId="0" applyNumberFormat="1" applyFont="1" applyBorder="1" applyAlignment="1">
      <alignment wrapText="1"/>
    </xf>
    <xf numFmtId="0" fontId="72" fillId="0" borderId="10" xfId="0" applyFont="1" applyBorder="1" applyAlignment="1">
      <alignment vertical="top" wrapText="1"/>
    </xf>
    <xf numFmtId="0" fontId="72" fillId="0" borderId="10" xfId="0" applyFont="1" applyBorder="1" applyAlignment="1">
      <alignment vertical="center"/>
    </xf>
    <xf numFmtId="0" fontId="75" fillId="0" borderId="10" xfId="0" applyFont="1" applyFill="1" applyBorder="1" applyAlignment="1">
      <alignment/>
    </xf>
    <xf numFmtId="0" fontId="74" fillId="0" borderId="10" xfId="0" applyFont="1" applyBorder="1" applyAlignment="1">
      <alignment vertical="top" wrapText="1"/>
    </xf>
    <xf numFmtId="3" fontId="0" fillId="0" borderId="10" xfId="0" applyNumberFormat="1" applyFont="1" applyFill="1" applyBorder="1" applyAlignment="1">
      <alignment/>
    </xf>
    <xf numFmtId="3" fontId="74" fillId="0" borderId="16" xfId="0" applyNumberFormat="1" applyFont="1" applyBorder="1" applyAlignment="1">
      <alignment wrapText="1"/>
    </xf>
    <xf numFmtId="3" fontId="72" fillId="0" borderId="16" xfId="0" applyNumberFormat="1" applyFont="1" applyBorder="1" applyAlignment="1">
      <alignment wrapText="1"/>
    </xf>
    <xf numFmtId="3" fontId="79" fillId="0" borderId="10" xfId="0" applyNumberFormat="1" applyFont="1" applyBorder="1" applyAlignment="1">
      <alignment wrapText="1"/>
    </xf>
    <xf numFmtId="3" fontId="72" fillId="0" borderId="17" xfId="0" applyNumberFormat="1" applyFont="1" applyBorder="1" applyAlignment="1">
      <alignment vertical="top" wrapText="1"/>
    </xf>
    <xf numFmtId="3" fontId="71" fillId="0" borderId="11" xfId="0" applyNumberFormat="1" applyFont="1" applyBorder="1" applyAlignment="1">
      <alignment/>
    </xf>
    <xf numFmtId="3" fontId="71" fillId="0" borderId="11" xfId="0" applyNumberFormat="1" applyFont="1" applyFill="1" applyBorder="1" applyAlignment="1">
      <alignment/>
    </xf>
    <xf numFmtId="0" fontId="72" fillId="0" borderId="12" xfId="0" applyFont="1" applyBorder="1" applyAlignment="1">
      <alignment vertical="top"/>
    </xf>
    <xf numFmtId="4" fontId="73" fillId="0" borderId="11" xfId="0" applyNumberFormat="1" applyFont="1" applyBorder="1" applyAlignment="1">
      <alignment/>
    </xf>
    <xf numFmtId="0" fontId="72" fillId="0" borderId="11" xfId="0" applyFont="1" applyBorder="1" applyAlignment="1">
      <alignment horizontal="center" vertical="top" wrapText="1"/>
    </xf>
    <xf numFmtId="0" fontId="75" fillId="0" borderId="11" xfId="0" applyFont="1" applyBorder="1" applyAlignment="1">
      <alignment/>
    </xf>
    <xf numFmtId="4" fontId="75" fillId="0" borderId="11" xfId="0" applyNumberFormat="1" applyFont="1" applyBorder="1" applyAlignment="1">
      <alignment/>
    </xf>
    <xf numFmtId="4" fontId="74" fillId="33" borderId="11" xfId="0" applyNumberFormat="1" applyFont="1" applyFill="1" applyBorder="1" applyAlignment="1">
      <alignment/>
    </xf>
    <xf numFmtId="3" fontId="74" fillId="0" borderId="11" xfId="0" applyNumberFormat="1" applyFont="1" applyFill="1" applyBorder="1" applyAlignment="1">
      <alignment/>
    </xf>
    <xf numFmtId="43" fontId="75" fillId="0" borderId="11" xfId="42" applyFont="1" applyBorder="1" applyAlignment="1">
      <alignment/>
    </xf>
    <xf numFmtId="3" fontId="74" fillId="33" borderId="18" xfId="0" applyNumberFormat="1" applyFont="1" applyFill="1" applyBorder="1" applyAlignment="1">
      <alignment vertical="top"/>
    </xf>
    <xf numFmtId="179" fontId="75" fillId="0" borderId="11" xfId="42" applyNumberFormat="1" applyFont="1" applyFill="1" applyBorder="1" applyAlignment="1">
      <alignment/>
    </xf>
    <xf numFmtId="3" fontId="75" fillId="0" borderId="11" xfId="0" applyNumberFormat="1" applyFont="1" applyFill="1" applyBorder="1" applyAlignment="1">
      <alignment/>
    </xf>
    <xf numFmtId="3" fontId="74" fillId="38" borderId="18" xfId="0" applyNumberFormat="1" applyFont="1" applyFill="1" applyBorder="1" applyAlignment="1">
      <alignment/>
    </xf>
    <xf numFmtId="3" fontId="74" fillId="33" borderId="18" xfId="0" applyNumberFormat="1" applyFont="1" applyFill="1" applyBorder="1" applyAlignment="1">
      <alignment/>
    </xf>
    <xf numFmtId="3" fontId="75" fillId="0" borderId="11" xfId="42" applyNumberFormat="1" applyFont="1" applyFill="1" applyBorder="1" applyAlignment="1">
      <alignment horizontal="right"/>
    </xf>
    <xf numFmtId="0" fontId="75" fillId="0" borderId="11" xfId="0" applyFont="1" applyFill="1" applyBorder="1" applyAlignment="1">
      <alignment/>
    </xf>
    <xf numFmtId="4" fontId="72" fillId="0" borderId="12" xfId="0" applyNumberFormat="1" applyFont="1" applyBorder="1" applyAlignment="1">
      <alignment vertical="top" wrapText="1"/>
    </xf>
    <xf numFmtId="4" fontId="71" fillId="0" borderId="10" xfId="0" applyNumberFormat="1" applyFont="1" applyBorder="1" applyAlignment="1">
      <alignment/>
    </xf>
    <xf numFmtId="4" fontId="72" fillId="33" borderId="10" xfId="0" applyNumberFormat="1" applyFont="1" applyFill="1" applyBorder="1" applyAlignment="1">
      <alignment/>
    </xf>
    <xf numFmtId="4" fontId="72" fillId="0" borderId="10" xfId="0" applyNumberFormat="1" applyFont="1" applyFill="1" applyBorder="1" applyAlignment="1">
      <alignment/>
    </xf>
    <xf numFmtId="4" fontId="73" fillId="0" borderId="10" xfId="0" applyNumberFormat="1" applyFont="1" applyFill="1" applyBorder="1" applyAlignment="1">
      <alignment/>
    </xf>
    <xf numFmtId="4" fontId="71" fillId="38" borderId="10" xfId="0" applyNumberFormat="1" applyFont="1" applyFill="1" applyBorder="1" applyAlignment="1">
      <alignment/>
    </xf>
    <xf numFmtId="3" fontId="72" fillId="33" borderId="11" xfId="0" applyNumberFormat="1" applyFont="1" applyFill="1" applyBorder="1" applyAlignment="1">
      <alignment vertical="top" wrapText="1"/>
    </xf>
    <xf numFmtId="3" fontId="72" fillId="38" borderId="11" xfId="0" applyNumberFormat="1" applyFont="1" applyFill="1" applyBorder="1" applyAlignment="1">
      <alignment vertical="top"/>
    </xf>
    <xf numFmtId="3" fontId="72" fillId="39" borderId="11" xfId="0" applyNumberFormat="1" applyFont="1" applyFill="1" applyBorder="1" applyAlignment="1">
      <alignment/>
    </xf>
    <xf numFmtId="3" fontId="72" fillId="0" borderId="11" xfId="0" applyNumberFormat="1" applyFont="1" applyBorder="1" applyAlignment="1">
      <alignment/>
    </xf>
    <xf numFmtId="0" fontId="2" fillId="33" borderId="10" xfId="42" applyNumberFormat="1" applyFont="1" applyFill="1" applyBorder="1" applyAlignment="1">
      <alignment vertical="top"/>
    </xf>
    <xf numFmtId="179" fontId="4" fillId="34" borderId="10" xfId="42" applyNumberFormat="1" applyFont="1" applyFill="1" applyBorder="1" applyAlignment="1">
      <alignment horizontal="center" vertical="top" wrapText="1"/>
    </xf>
    <xf numFmtId="3" fontId="72" fillId="41" borderId="12" xfId="0" applyNumberFormat="1" applyFont="1" applyFill="1" applyBorder="1" applyAlignment="1">
      <alignment vertical="top" wrapText="1"/>
    </xf>
    <xf numFmtId="179" fontId="5" fillId="39" borderId="11" xfId="42" applyNumberFormat="1" applyFont="1" applyFill="1" applyBorder="1" applyAlignment="1">
      <alignment/>
    </xf>
    <xf numFmtId="179" fontId="0" fillId="0" borderId="11" xfId="42" applyNumberFormat="1" applyFont="1" applyBorder="1" applyAlignment="1">
      <alignment/>
    </xf>
    <xf numFmtId="179" fontId="71" fillId="39" borderId="11" xfId="42" applyNumberFormat="1" applyFont="1" applyFill="1" applyBorder="1" applyAlignment="1">
      <alignment/>
    </xf>
    <xf numFmtId="179" fontId="5" fillId="39" borderId="11" xfId="42" applyNumberFormat="1" applyFont="1" applyFill="1" applyBorder="1" applyAlignment="1">
      <alignment horizontal="left"/>
    </xf>
    <xf numFmtId="3" fontId="2" fillId="39" borderId="11" xfId="42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179" fontId="75" fillId="0" borderId="10" xfId="0" applyNumberFormat="1" applyFont="1" applyBorder="1" applyAlignment="1">
      <alignment/>
    </xf>
    <xf numFmtId="179" fontId="75" fillId="0" borderId="10" xfId="0" applyNumberFormat="1" applyFont="1" applyFill="1" applyBorder="1" applyAlignment="1">
      <alignment/>
    </xf>
    <xf numFmtId="43" fontId="0" fillId="0" borderId="0" xfId="42" applyFont="1" applyAlignment="1">
      <alignment/>
    </xf>
    <xf numFmtId="43" fontId="72" fillId="0" borderId="12" xfId="42" applyFont="1" applyBorder="1" applyAlignment="1">
      <alignment vertical="top" wrapText="1"/>
    </xf>
    <xf numFmtId="43" fontId="72" fillId="33" borderId="11" xfId="42" applyFont="1" applyFill="1" applyBorder="1" applyAlignment="1">
      <alignment/>
    </xf>
    <xf numFmtId="43" fontId="72" fillId="38" borderId="11" xfId="42" applyFont="1" applyFill="1" applyBorder="1" applyAlignment="1">
      <alignment/>
    </xf>
    <xf numFmtId="43" fontId="74" fillId="33" borderId="10" xfId="42" applyFont="1" applyFill="1" applyBorder="1" applyAlignment="1">
      <alignment/>
    </xf>
    <xf numFmtId="43" fontId="74" fillId="38" borderId="10" xfId="42" applyFont="1" applyFill="1" applyBorder="1" applyAlignment="1">
      <alignment/>
    </xf>
    <xf numFmtId="43" fontId="72" fillId="38" borderId="10" xfId="42" applyFont="1" applyFill="1" applyBorder="1" applyAlignment="1">
      <alignment/>
    </xf>
    <xf numFmtId="43" fontId="74" fillId="33" borderId="10" xfId="42" applyFont="1" applyFill="1" applyBorder="1" applyAlignment="1">
      <alignment vertical="top"/>
    </xf>
    <xf numFmtId="43" fontId="74" fillId="38" borderId="10" xfId="42" applyFont="1" applyFill="1" applyBorder="1" applyAlignment="1">
      <alignment vertical="top"/>
    </xf>
    <xf numFmtId="179" fontId="73" fillId="0" borderId="0" xfId="42" applyNumberFormat="1" applyFont="1" applyAlignment="1">
      <alignment/>
    </xf>
    <xf numFmtId="179" fontId="73" fillId="0" borderId="10" xfId="42" applyNumberFormat="1" applyFont="1" applyBorder="1" applyAlignment="1">
      <alignment/>
    </xf>
    <xf numFmtId="179" fontId="72" fillId="33" borderId="10" xfId="42" applyNumberFormat="1" applyFont="1" applyFill="1" applyBorder="1" applyAlignment="1">
      <alignment/>
    </xf>
    <xf numFmtId="179" fontId="73" fillId="0" borderId="10" xfId="42" applyNumberFormat="1" applyFont="1" applyFill="1" applyBorder="1" applyAlignment="1">
      <alignment/>
    </xf>
    <xf numFmtId="179" fontId="0" fillId="0" borderId="10" xfId="42" applyNumberFormat="1" applyFont="1" applyBorder="1" applyAlignment="1">
      <alignment/>
    </xf>
    <xf numFmtId="179" fontId="0" fillId="0" borderId="0" xfId="42" applyNumberFormat="1" applyFont="1" applyAlignment="1">
      <alignment/>
    </xf>
    <xf numFmtId="179" fontId="72" fillId="0" borderId="12" xfId="42" applyNumberFormat="1" applyFont="1" applyBorder="1" applyAlignment="1">
      <alignment vertical="top"/>
    </xf>
    <xf numFmtId="179" fontId="0" fillId="0" borderId="10" xfId="42" applyNumberFormat="1" applyFont="1" applyBorder="1" applyAlignment="1">
      <alignment vertical="top"/>
    </xf>
    <xf numFmtId="179" fontId="74" fillId="33" borderId="10" xfId="42" applyNumberFormat="1" applyFont="1" applyFill="1" applyBorder="1" applyAlignment="1">
      <alignment/>
    </xf>
    <xf numFmtId="179" fontId="0" fillId="0" borderId="10" xfId="42" applyNumberFormat="1" applyFont="1" applyFill="1" applyBorder="1" applyAlignment="1">
      <alignment/>
    </xf>
    <xf numFmtId="179" fontId="74" fillId="38" borderId="10" xfId="42" applyNumberFormat="1" applyFont="1" applyFill="1" applyBorder="1" applyAlignment="1">
      <alignment/>
    </xf>
    <xf numFmtId="179" fontId="72" fillId="38" borderId="10" xfId="42" applyNumberFormat="1" applyFont="1" applyFill="1" applyBorder="1" applyAlignment="1">
      <alignment/>
    </xf>
    <xf numFmtId="179" fontId="75" fillId="38" borderId="10" xfId="42" applyNumberFormat="1" applyFont="1" applyFill="1" applyBorder="1" applyAlignment="1">
      <alignment/>
    </xf>
    <xf numFmtId="179" fontId="70" fillId="0" borderId="10" xfId="42" applyNumberFormat="1" applyFont="1" applyBorder="1" applyAlignment="1">
      <alignment/>
    </xf>
    <xf numFmtId="0" fontId="73" fillId="0" borderId="10" xfId="0" applyFont="1" applyFill="1" applyBorder="1" applyAlignment="1">
      <alignment wrapText="1"/>
    </xf>
    <xf numFmtId="0" fontId="73" fillId="0" borderId="12" xfId="0" applyFont="1" applyFill="1" applyBorder="1" applyAlignment="1">
      <alignment horizontal="left" vertical="top"/>
    </xf>
    <xf numFmtId="0" fontId="73" fillId="39" borderId="10" xfId="0" applyFont="1" applyFill="1" applyBorder="1" applyAlignment="1">
      <alignment wrapText="1"/>
    </xf>
    <xf numFmtId="0" fontId="73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left"/>
    </xf>
    <xf numFmtId="0" fontId="0" fillId="0" borderId="0" xfId="0" applyAlignment="1">
      <alignment vertical="top"/>
    </xf>
    <xf numFmtId="3" fontId="73" fillId="0" borderId="10" xfId="0" applyNumberFormat="1" applyFont="1" applyBorder="1" applyAlignment="1">
      <alignment/>
    </xf>
    <xf numFmtId="0" fontId="73" fillId="0" borderId="10" xfId="0" applyFont="1" applyFill="1" applyBorder="1" applyAlignment="1">
      <alignment vertical="top"/>
    </xf>
    <xf numFmtId="43" fontId="0" fillId="0" borderId="10" xfId="42" applyFont="1" applyBorder="1" applyAlignment="1">
      <alignment/>
    </xf>
    <xf numFmtId="179" fontId="72" fillId="0" borderId="10" xfId="42" applyNumberFormat="1" applyFont="1" applyBorder="1" applyAlignment="1">
      <alignment vertical="center"/>
    </xf>
    <xf numFmtId="179" fontId="70" fillId="0" borderId="10" xfId="42" applyNumberFormat="1" applyFont="1" applyFill="1" applyBorder="1" applyAlignment="1">
      <alignment/>
    </xf>
    <xf numFmtId="179" fontId="0" fillId="0" borderId="10" xfId="42" applyNumberFormat="1" applyFont="1" applyBorder="1" applyAlignment="1">
      <alignment/>
    </xf>
    <xf numFmtId="3" fontId="72" fillId="34" borderId="10" xfId="42" applyNumberFormat="1" applyFont="1" applyFill="1" applyBorder="1" applyAlignment="1">
      <alignment horizontal="right" vertical="top"/>
    </xf>
    <xf numFmtId="179" fontId="73" fillId="0" borderId="0" xfId="0" applyNumberFormat="1" applyFont="1" applyAlignment="1">
      <alignment/>
    </xf>
    <xf numFmtId="179" fontId="72" fillId="0" borderId="10" xfId="0" applyNumberFormat="1" applyFont="1" applyBorder="1" applyAlignment="1">
      <alignment/>
    </xf>
    <xf numFmtId="179" fontId="73" fillId="35" borderId="10" xfId="0" applyNumberFormat="1" applyFont="1" applyFill="1" applyBorder="1" applyAlignment="1">
      <alignment/>
    </xf>
    <xf numFmtId="179" fontId="0" fillId="0" borderId="10" xfId="42" applyNumberFormat="1" applyFont="1" applyBorder="1" applyAlignment="1">
      <alignment/>
    </xf>
    <xf numFmtId="179" fontId="0" fillId="0" borderId="0" xfId="42" applyNumberFormat="1" applyFont="1" applyAlignment="1">
      <alignment/>
    </xf>
    <xf numFmtId="179" fontId="0" fillId="0" borderId="10" xfId="42" applyNumberFormat="1" applyFont="1" applyBorder="1" applyAlignment="1">
      <alignment vertical="top"/>
    </xf>
    <xf numFmtId="179" fontId="74" fillId="33" borderId="11" xfId="42" applyNumberFormat="1" applyFont="1" applyFill="1" applyBorder="1" applyAlignment="1">
      <alignment/>
    </xf>
    <xf numFmtId="179" fontId="0" fillId="0" borderId="10" xfId="42" applyNumberFormat="1" applyFont="1" applyFill="1" applyBorder="1" applyAlignment="1">
      <alignment/>
    </xf>
    <xf numFmtId="179" fontId="74" fillId="33" borderId="18" xfId="42" applyNumberFormat="1" applyFont="1" applyFill="1" applyBorder="1" applyAlignment="1">
      <alignment vertical="top"/>
    </xf>
    <xf numFmtId="179" fontId="69" fillId="0" borderId="10" xfId="42" applyNumberFormat="1" applyFont="1" applyBorder="1" applyAlignment="1">
      <alignment/>
    </xf>
    <xf numFmtId="179" fontId="74" fillId="38" borderId="18" xfId="42" applyNumberFormat="1" applyFont="1" applyFill="1" applyBorder="1" applyAlignment="1">
      <alignment/>
    </xf>
    <xf numFmtId="179" fontId="74" fillId="33" borderId="18" xfId="42" applyNumberFormat="1" applyFont="1" applyFill="1" applyBorder="1" applyAlignment="1">
      <alignment/>
    </xf>
    <xf numFmtId="179" fontId="72" fillId="33" borderId="11" xfId="42" applyNumberFormat="1" applyFont="1" applyFill="1" applyBorder="1" applyAlignment="1">
      <alignment/>
    </xf>
    <xf numFmtId="179" fontId="72" fillId="38" borderId="11" xfId="42" applyNumberFormat="1" applyFont="1" applyFill="1" applyBorder="1" applyAlignment="1">
      <alignment/>
    </xf>
    <xf numFmtId="179" fontId="0" fillId="0" borderId="10" xfId="42" applyNumberFormat="1" applyFont="1" applyBorder="1" applyAlignment="1">
      <alignment/>
    </xf>
    <xf numFmtId="179" fontId="74" fillId="33" borderId="10" xfId="42" applyNumberFormat="1" applyFont="1" applyFill="1" applyBorder="1" applyAlignment="1">
      <alignment vertical="top"/>
    </xf>
    <xf numFmtId="179" fontId="69" fillId="0" borderId="10" xfId="42" applyNumberFormat="1" applyFont="1" applyFill="1" applyBorder="1" applyAlignment="1">
      <alignment/>
    </xf>
    <xf numFmtId="179" fontId="74" fillId="38" borderId="10" xfId="42" applyNumberFormat="1" applyFont="1" applyFill="1" applyBorder="1" applyAlignment="1">
      <alignment vertical="top"/>
    </xf>
    <xf numFmtId="179" fontId="73" fillId="34" borderId="10" xfId="42" applyNumberFormat="1" applyFont="1" applyFill="1" applyBorder="1" applyAlignment="1">
      <alignment/>
    </xf>
    <xf numFmtId="3" fontId="79" fillId="0" borderId="12" xfId="0" applyNumberFormat="1" applyFont="1" applyBorder="1" applyAlignment="1">
      <alignment vertical="top" wrapText="1"/>
    </xf>
    <xf numFmtId="3" fontId="70" fillId="0" borderId="10" xfId="0" applyNumberFormat="1" applyFont="1" applyBorder="1" applyAlignment="1">
      <alignment/>
    </xf>
    <xf numFmtId="3" fontId="70" fillId="0" borderId="10" xfId="0" applyNumberFormat="1" applyFont="1" applyFill="1" applyBorder="1" applyAlignment="1">
      <alignment/>
    </xf>
    <xf numFmtId="3" fontId="0" fillId="0" borderId="0" xfId="42" applyNumberFormat="1" applyFont="1" applyAlignment="1">
      <alignment/>
    </xf>
    <xf numFmtId="3" fontId="0" fillId="0" borderId="10" xfId="42" applyNumberFormat="1" applyFont="1" applyFill="1" applyBorder="1" applyAlignment="1">
      <alignment/>
    </xf>
    <xf numFmtId="3" fontId="0" fillId="0" borderId="1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179" fontId="0" fillId="0" borderId="10" xfId="42" applyNumberFormat="1" applyFont="1" applyBorder="1" applyAlignment="1">
      <alignment/>
    </xf>
    <xf numFmtId="179" fontId="0" fillId="0" borderId="10" xfId="42" applyNumberFormat="1" applyFont="1" applyFill="1" applyBorder="1" applyAlignment="1">
      <alignment vertical="top"/>
    </xf>
    <xf numFmtId="179" fontId="0" fillId="0" borderId="0" xfId="42" applyNumberFormat="1" applyFont="1" applyAlignment="1">
      <alignment/>
    </xf>
    <xf numFmtId="179" fontId="0" fillId="0" borderId="10" xfId="42" applyNumberFormat="1" applyFont="1" applyBorder="1" applyAlignment="1">
      <alignment/>
    </xf>
    <xf numFmtId="179" fontId="0" fillId="0" borderId="10" xfId="42" applyNumberFormat="1" applyFont="1" applyFill="1" applyBorder="1" applyAlignment="1">
      <alignment/>
    </xf>
    <xf numFmtId="179" fontId="69" fillId="38" borderId="10" xfId="42" applyNumberFormat="1" applyFont="1" applyFill="1" applyBorder="1" applyAlignment="1">
      <alignment/>
    </xf>
    <xf numFmtId="3" fontId="72" fillId="0" borderId="10" xfId="42" applyNumberFormat="1" applyFont="1" applyBorder="1" applyAlignment="1">
      <alignment/>
    </xf>
    <xf numFmtId="3" fontId="74" fillId="33" borderId="10" xfId="42" applyNumberFormat="1" applyFont="1" applyFill="1" applyBorder="1" applyAlignment="1">
      <alignment/>
    </xf>
    <xf numFmtId="3" fontId="74" fillId="0" borderId="10" xfId="42" applyNumberFormat="1" applyFont="1" applyFill="1" applyBorder="1" applyAlignment="1">
      <alignment/>
    </xf>
    <xf numFmtId="3" fontId="74" fillId="33" borderId="10" xfId="42" applyNumberFormat="1" applyFont="1" applyFill="1" applyBorder="1" applyAlignment="1">
      <alignment vertical="top"/>
    </xf>
    <xf numFmtId="3" fontId="74" fillId="38" borderId="10" xfId="42" applyNumberFormat="1" applyFont="1" applyFill="1" applyBorder="1" applyAlignment="1">
      <alignment vertical="top"/>
    </xf>
    <xf numFmtId="3" fontId="75" fillId="0" borderId="10" xfId="0" applyNumberFormat="1" applyFont="1" applyFill="1" applyBorder="1" applyAlignment="1">
      <alignment horizontal="right"/>
    </xf>
    <xf numFmtId="3" fontId="74" fillId="33" borderId="10" xfId="42" applyNumberFormat="1" applyFont="1" applyFill="1" applyBorder="1" applyAlignment="1">
      <alignment horizontal="right"/>
    </xf>
    <xf numFmtId="3" fontId="74" fillId="0" borderId="10" xfId="42" applyNumberFormat="1" applyFont="1" applyFill="1" applyBorder="1" applyAlignment="1">
      <alignment horizontal="right"/>
    </xf>
    <xf numFmtId="3" fontId="74" fillId="38" borderId="10" xfId="42" applyNumberFormat="1" applyFont="1" applyFill="1" applyBorder="1" applyAlignment="1">
      <alignment horizontal="right"/>
    </xf>
    <xf numFmtId="3" fontId="74" fillId="35" borderId="10" xfId="42" applyNumberFormat="1" applyFont="1" applyFill="1" applyBorder="1" applyAlignment="1">
      <alignment/>
    </xf>
    <xf numFmtId="3" fontId="74" fillId="0" borderId="10" xfId="42" applyNumberFormat="1" applyFont="1" applyFill="1" applyBorder="1" applyAlignment="1">
      <alignment/>
    </xf>
    <xf numFmtId="3" fontId="74" fillId="38" borderId="10" xfId="42" applyNumberFormat="1" applyFont="1" applyFill="1" applyBorder="1" applyAlignment="1">
      <alignment/>
    </xf>
    <xf numFmtId="3" fontId="72" fillId="38" borderId="10" xfId="42" applyNumberFormat="1" applyFont="1" applyFill="1" applyBorder="1" applyAlignment="1">
      <alignment/>
    </xf>
    <xf numFmtId="179" fontId="72" fillId="0" borderId="12" xfId="42" applyNumberFormat="1" applyFont="1" applyBorder="1" applyAlignment="1">
      <alignment vertical="top" wrapText="1"/>
    </xf>
    <xf numFmtId="179" fontId="4" fillId="38" borderId="10" xfId="42" applyNumberFormat="1" applyFont="1" applyFill="1" applyBorder="1" applyAlignment="1">
      <alignment/>
    </xf>
    <xf numFmtId="179" fontId="4" fillId="33" borderId="10" xfId="42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10" xfId="42" applyNumberFormat="1" applyFont="1" applyBorder="1" applyAlignment="1">
      <alignment vertical="top"/>
    </xf>
    <xf numFmtId="179" fontId="0" fillId="0" borderId="10" xfId="42" applyNumberFormat="1" applyFont="1" applyBorder="1" applyAlignment="1">
      <alignment/>
    </xf>
    <xf numFmtId="179" fontId="0" fillId="0" borderId="10" xfId="42" applyNumberFormat="1" applyFont="1" applyFill="1" applyBorder="1" applyAlignment="1">
      <alignment/>
    </xf>
    <xf numFmtId="3" fontId="72" fillId="0" borderId="10" xfId="0" applyNumberFormat="1" applyFont="1" applyBorder="1" applyAlignment="1">
      <alignment wrapText="1"/>
    </xf>
    <xf numFmtId="3" fontId="70" fillId="0" borderId="0" xfId="0" applyNumberFormat="1" applyFont="1" applyFill="1" applyAlignment="1">
      <alignment/>
    </xf>
    <xf numFmtId="179" fontId="73" fillId="0" borderId="0" xfId="0" applyNumberFormat="1" applyFont="1" applyFill="1" applyAlignment="1">
      <alignment/>
    </xf>
    <xf numFmtId="179" fontId="14" fillId="0" borderId="10" xfId="42" applyNumberFormat="1" applyFont="1" applyBorder="1" applyAlignment="1">
      <alignment/>
    </xf>
    <xf numFmtId="179" fontId="72" fillId="38" borderId="11" xfId="42" applyNumberFormat="1" applyFont="1" applyFill="1" applyBorder="1" applyAlignment="1">
      <alignment vertical="top"/>
    </xf>
    <xf numFmtId="179" fontId="0" fillId="0" borderId="0" xfId="42" applyNumberFormat="1" applyFont="1" applyAlignment="1">
      <alignment/>
    </xf>
    <xf numFmtId="179" fontId="0" fillId="0" borderId="10" xfId="42" applyNumberFormat="1" applyFont="1" applyBorder="1" applyAlignment="1">
      <alignment vertical="top"/>
    </xf>
    <xf numFmtId="179" fontId="0" fillId="0" borderId="10" xfId="42" applyNumberFormat="1" applyFont="1" applyBorder="1" applyAlignment="1">
      <alignment/>
    </xf>
    <xf numFmtId="179" fontId="0" fillId="0" borderId="10" xfId="42" applyNumberFormat="1" applyFont="1" applyFill="1" applyBorder="1" applyAlignment="1">
      <alignment/>
    </xf>
    <xf numFmtId="0" fontId="73" fillId="0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2" fillId="0" borderId="17" xfId="0" applyFont="1" applyFill="1" applyBorder="1" applyAlignment="1">
      <alignment vertical="top"/>
    </xf>
    <xf numFmtId="0" fontId="82" fillId="0" borderId="10" xfId="0" applyFont="1" applyBorder="1" applyAlignment="1">
      <alignment horizontal="center" vertical="top" wrapText="1"/>
    </xf>
    <xf numFmtId="43" fontId="75" fillId="0" borderId="0" xfId="42" applyFont="1" applyAlignment="1">
      <alignment/>
    </xf>
    <xf numFmtId="43" fontId="72" fillId="41" borderId="12" xfId="42" applyFont="1" applyFill="1" applyBorder="1" applyAlignment="1">
      <alignment vertical="top"/>
    </xf>
    <xf numFmtId="43" fontId="75" fillId="0" borderId="10" xfId="42" applyFont="1" applyBorder="1" applyAlignment="1">
      <alignment/>
    </xf>
    <xf numFmtId="43" fontId="4" fillId="33" borderId="11" xfId="42" applyFont="1" applyFill="1" applyBorder="1" applyAlignment="1">
      <alignment horizontal="right"/>
    </xf>
    <xf numFmtId="43" fontId="75" fillId="0" borderId="10" xfId="42" applyFont="1" applyFill="1" applyBorder="1" applyAlignment="1">
      <alignment/>
    </xf>
    <xf numFmtId="43" fontId="4" fillId="33" borderId="11" xfId="42" applyFont="1" applyFill="1" applyBorder="1" applyAlignment="1">
      <alignment/>
    </xf>
    <xf numFmtId="43" fontId="4" fillId="38" borderId="11" xfId="42" applyFont="1" applyFill="1" applyBorder="1" applyAlignment="1">
      <alignment/>
    </xf>
    <xf numFmtId="43" fontId="4" fillId="35" borderId="11" xfId="42" applyFont="1" applyFill="1" applyBorder="1" applyAlignment="1">
      <alignment/>
    </xf>
    <xf numFmtId="43" fontId="5" fillId="0" borderId="10" xfId="42" applyFont="1" applyFill="1" applyBorder="1" applyAlignment="1">
      <alignment/>
    </xf>
    <xf numFmtId="43" fontId="72" fillId="36" borderId="11" xfId="42" applyFont="1" applyFill="1" applyBorder="1" applyAlignment="1">
      <alignment/>
    </xf>
    <xf numFmtId="179" fontId="71" fillId="0" borderId="10" xfId="42" applyNumberFormat="1" applyFont="1" applyBorder="1" applyAlignment="1">
      <alignment/>
    </xf>
    <xf numFmtId="0" fontId="2" fillId="39" borderId="11" xfId="42" applyNumberFormat="1" applyFont="1" applyFill="1" applyBorder="1" applyAlignment="1">
      <alignment horizontal="left"/>
    </xf>
    <xf numFmtId="179" fontId="78" fillId="0" borderId="10" xfId="42" applyNumberFormat="1" applyFont="1" applyFill="1" applyBorder="1" applyAlignment="1">
      <alignment horizontal="center"/>
    </xf>
    <xf numFmtId="179" fontId="2" fillId="39" borderId="10" xfId="42" applyNumberFormat="1" applyFont="1" applyFill="1" applyBorder="1" applyAlignment="1">
      <alignment/>
    </xf>
    <xf numFmtId="179" fontId="73" fillId="42" borderId="10" xfId="42" applyNumberFormat="1" applyFont="1" applyFill="1" applyBorder="1" applyAlignment="1">
      <alignment horizontal="right" vertical="top"/>
    </xf>
    <xf numFmtId="179" fontId="72" fillId="34" borderId="10" xfId="42" applyNumberFormat="1" applyFont="1" applyFill="1" applyBorder="1" applyAlignment="1">
      <alignment horizontal="right" vertical="top"/>
    </xf>
    <xf numFmtId="3" fontId="72" fillId="38" borderId="10" xfId="42" applyNumberFormat="1" applyFont="1" applyFill="1" applyBorder="1" applyAlignment="1">
      <alignment horizontal="right" vertical="top"/>
    </xf>
    <xf numFmtId="3" fontId="72" fillId="33" borderId="10" xfId="0" applyNumberFormat="1" applyFont="1" applyFill="1" applyBorder="1" applyAlignment="1">
      <alignment horizontal="right" vertical="top"/>
    </xf>
    <xf numFmtId="3" fontId="72" fillId="35" borderId="10" xfId="0" applyNumberFormat="1" applyFont="1" applyFill="1" applyBorder="1" applyAlignment="1">
      <alignment horizontal="right" vertical="top"/>
    </xf>
    <xf numFmtId="3" fontId="72" fillId="38" borderId="10" xfId="0" applyNumberFormat="1" applyFont="1" applyFill="1" applyBorder="1" applyAlignment="1">
      <alignment horizontal="right" vertical="top"/>
    </xf>
    <xf numFmtId="3" fontId="72" fillId="42" borderId="10" xfId="42" applyNumberFormat="1" applyFont="1" applyFill="1" applyBorder="1" applyAlignment="1">
      <alignment horizontal="right" vertical="top"/>
    </xf>
    <xf numFmtId="49" fontId="72" fillId="41" borderId="10" xfId="42" applyNumberFormat="1" applyFont="1" applyFill="1" applyBorder="1" applyAlignment="1">
      <alignment horizontal="center" vertical="top"/>
    </xf>
    <xf numFmtId="0" fontId="73" fillId="0" borderId="10" xfId="42" applyNumberFormat="1" applyFont="1" applyBorder="1" applyAlignment="1">
      <alignment/>
    </xf>
    <xf numFmtId="0" fontId="72" fillId="36" borderId="10" xfId="42" applyNumberFormat="1" applyFont="1" applyFill="1" applyBorder="1" applyAlignment="1">
      <alignment/>
    </xf>
    <xf numFmtId="0" fontId="73" fillId="0" borderId="10" xfId="42" applyNumberFormat="1" applyFont="1" applyBorder="1" applyAlignment="1">
      <alignment vertical="top"/>
    </xf>
    <xf numFmtId="0" fontId="72" fillId="33" borderId="10" xfId="42" applyNumberFormat="1" applyFont="1" applyFill="1" applyBorder="1" applyAlignment="1">
      <alignment vertical="top"/>
    </xf>
    <xf numFmtId="0" fontId="73" fillId="0" borderId="10" xfId="42" applyNumberFormat="1" applyFont="1" applyFill="1" applyBorder="1" applyAlignment="1">
      <alignment vertical="top"/>
    </xf>
    <xf numFmtId="0" fontId="72" fillId="34" borderId="10" xfId="42" applyNumberFormat="1" applyFont="1" applyFill="1" applyBorder="1" applyAlignment="1">
      <alignment vertical="top"/>
    </xf>
    <xf numFmtId="0" fontId="72" fillId="42" borderId="10" xfId="42" applyNumberFormat="1" applyFont="1" applyFill="1" applyBorder="1" applyAlignment="1">
      <alignment vertical="top"/>
    </xf>
    <xf numFmtId="179" fontId="72" fillId="42" borderId="10" xfId="42" applyNumberFormat="1" applyFont="1" applyFill="1" applyBorder="1" applyAlignment="1">
      <alignment horizontal="left" vertical="top" wrapText="1"/>
    </xf>
    <xf numFmtId="0" fontId="73" fillId="0" borderId="10" xfId="42" applyNumberFormat="1" applyFont="1" applyFill="1" applyBorder="1" applyAlignment="1">
      <alignment horizontal="left" vertical="top" wrapText="1"/>
    </xf>
    <xf numFmtId="0" fontId="72" fillId="36" borderId="10" xfId="42" applyNumberFormat="1" applyFont="1" applyFill="1" applyBorder="1" applyAlignment="1">
      <alignment vertical="top"/>
    </xf>
    <xf numFmtId="0" fontId="72" fillId="34" borderId="10" xfId="0" applyFont="1" applyFill="1" applyBorder="1" applyAlignment="1">
      <alignment vertical="top"/>
    </xf>
    <xf numFmtId="0" fontId="73" fillId="0" borderId="10" xfId="45" applyNumberFormat="1" applyFont="1" applyFill="1" applyBorder="1" applyAlignment="1">
      <alignment horizontal="left" vertical="top" wrapText="1"/>
    </xf>
    <xf numFmtId="0" fontId="73" fillId="0" borderId="10" xfId="42" applyNumberFormat="1" applyFont="1" applyFill="1" applyBorder="1" applyAlignment="1">
      <alignment horizontal="left" vertical="top"/>
    </xf>
    <xf numFmtId="0" fontId="72" fillId="36" borderId="10" xfId="42" applyNumberFormat="1" applyFont="1" applyFill="1" applyBorder="1" applyAlignment="1">
      <alignment vertical="top" wrapText="1"/>
    </xf>
    <xf numFmtId="0" fontId="72" fillId="42" borderId="10" xfId="0" applyFont="1" applyFill="1" applyBorder="1" applyAlignment="1">
      <alignment horizontal="left" vertical="top"/>
    </xf>
    <xf numFmtId="0" fontId="73" fillId="0" borderId="10" xfId="0" applyNumberFormat="1" applyFont="1" applyFill="1" applyBorder="1" applyAlignment="1">
      <alignment horizontal="left" vertical="top"/>
    </xf>
    <xf numFmtId="0" fontId="73" fillId="0" borderId="10" xfId="42" applyNumberFormat="1" applyFont="1" applyBorder="1" applyAlignment="1">
      <alignment horizontal="left" vertical="top"/>
    </xf>
    <xf numFmtId="0" fontId="72" fillId="38" borderId="10" xfId="0" applyFont="1" applyFill="1" applyBorder="1" applyAlignment="1">
      <alignment horizontal="left" vertical="top"/>
    </xf>
    <xf numFmtId="0" fontId="72" fillId="38" borderId="11" xfId="0" applyFont="1" applyFill="1" applyBorder="1" applyAlignment="1">
      <alignment horizontal="left" vertical="top"/>
    </xf>
    <xf numFmtId="0" fontId="73" fillId="0" borderId="11" xfId="0" applyFont="1" applyBorder="1" applyAlignment="1">
      <alignment horizontal="left" vertical="top"/>
    </xf>
    <xf numFmtId="0" fontId="73" fillId="0" borderId="19" xfId="0" applyFont="1" applyBorder="1" applyAlignment="1">
      <alignment vertical="top" wrapText="1"/>
    </xf>
    <xf numFmtId="0" fontId="73" fillId="0" borderId="19" xfId="0" applyFont="1" applyBorder="1" applyAlignment="1">
      <alignment vertical="top"/>
    </xf>
    <xf numFmtId="0" fontId="72" fillId="36" borderId="10" xfId="0" applyFont="1" applyFill="1" applyBorder="1" applyAlignment="1">
      <alignment vertical="top"/>
    </xf>
    <xf numFmtId="0" fontId="72" fillId="34" borderId="10" xfId="0" applyFont="1" applyFill="1" applyBorder="1" applyAlignment="1">
      <alignment vertical="top" wrapText="1"/>
    </xf>
    <xf numFmtId="0" fontId="72" fillId="34" borderId="11" xfId="0" applyFont="1" applyFill="1" applyBorder="1" applyAlignment="1">
      <alignment vertical="top" wrapText="1"/>
    </xf>
    <xf numFmtId="0" fontId="72" fillId="33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vertical="top"/>
    </xf>
    <xf numFmtId="0" fontId="73" fillId="39" borderId="10" xfId="0" applyFont="1" applyFill="1" applyBorder="1" applyAlignment="1">
      <alignment/>
    </xf>
    <xf numFmtId="0" fontId="72" fillId="34" borderId="11" xfId="0" applyFont="1" applyFill="1" applyBorder="1" applyAlignment="1">
      <alignment horizontal="left" vertical="top"/>
    </xf>
    <xf numFmtId="0" fontId="72" fillId="38" borderId="11" xfId="0" applyFont="1" applyFill="1" applyBorder="1" applyAlignment="1">
      <alignment vertical="top"/>
    </xf>
    <xf numFmtId="3" fontId="73" fillId="41" borderId="10" xfId="0" applyNumberFormat="1" applyFont="1" applyFill="1" applyBorder="1" applyAlignment="1">
      <alignment horizontal="right" vertical="top"/>
    </xf>
    <xf numFmtId="49" fontId="72" fillId="41" borderId="10" xfId="42" applyNumberFormat="1" applyFont="1" applyFill="1" applyBorder="1" applyAlignment="1">
      <alignment horizontal="left" vertical="top" wrapText="1"/>
    </xf>
    <xf numFmtId="3" fontId="73" fillId="42" borderId="10" xfId="0" applyNumberFormat="1" applyFont="1" applyFill="1" applyBorder="1" applyAlignment="1">
      <alignment horizontal="right" vertical="top"/>
    </xf>
    <xf numFmtId="3" fontId="73" fillId="42" borderId="10" xfId="0" applyNumberFormat="1" applyFont="1" applyFill="1" applyBorder="1" applyAlignment="1">
      <alignment horizontal="right"/>
    </xf>
    <xf numFmtId="179" fontId="73" fillId="0" borderId="10" xfId="42" applyNumberFormat="1" applyFont="1" applyBorder="1" applyAlignment="1">
      <alignment horizontal="left"/>
    </xf>
    <xf numFmtId="179" fontId="72" fillId="36" borderId="10" xfId="42" applyNumberFormat="1" applyFont="1" applyFill="1" applyBorder="1" applyAlignment="1">
      <alignment horizontal="left"/>
    </xf>
    <xf numFmtId="3" fontId="72" fillId="36" borderId="10" xfId="42" applyNumberFormat="1" applyFont="1" applyFill="1" applyBorder="1" applyAlignment="1">
      <alignment horizontal="right" vertical="top"/>
    </xf>
    <xf numFmtId="179" fontId="73" fillId="33" borderId="10" xfId="42" applyNumberFormat="1" applyFont="1" applyFill="1" applyBorder="1" applyAlignment="1">
      <alignment horizontal="left" vertical="top"/>
    </xf>
    <xf numFmtId="3" fontId="72" fillId="33" borderId="10" xfId="42" applyNumberFormat="1" applyFont="1" applyFill="1" applyBorder="1" applyAlignment="1">
      <alignment horizontal="right" vertical="top"/>
    </xf>
    <xf numFmtId="179" fontId="73" fillId="39" borderId="10" xfId="42" applyNumberFormat="1" applyFont="1" applyFill="1" applyBorder="1" applyAlignment="1">
      <alignment horizontal="left" vertical="top"/>
    </xf>
    <xf numFmtId="3" fontId="73" fillId="0" borderId="10" xfId="42" applyNumberFormat="1" applyFont="1" applyFill="1" applyBorder="1" applyAlignment="1">
      <alignment horizontal="right" vertical="top"/>
    </xf>
    <xf numFmtId="179" fontId="73" fillId="0" borderId="10" xfId="42" applyNumberFormat="1" applyFont="1" applyBorder="1" applyAlignment="1">
      <alignment horizontal="left" vertical="top"/>
    </xf>
    <xf numFmtId="179" fontId="73" fillId="42" borderId="10" xfId="42" applyNumberFormat="1" applyFont="1" applyFill="1" applyBorder="1" applyAlignment="1">
      <alignment horizontal="left" vertical="top"/>
    </xf>
    <xf numFmtId="179" fontId="73" fillId="0" borderId="10" xfId="42" applyNumberFormat="1" applyFont="1" applyFill="1" applyBorder="1" applyAlignment="1">
      <alignment horizontal="left" vertical="top"/>
    </xf>
    <xf numFmtId="179" fontId="72" fillId="36" borderId="10" xfId="42" applyNumberFormat="1" applyFont="1" applyFill="1" applyBorder="1" applyAlignment="1">
      <alignment horizontal="left" vertical="top"/>
    </xf>
    <xf numFmtId="178" fontId="0" fillId="0" borderId="10" xfId="42" applyNumberFormat="1" applyFont="1" applyBorder="1" applyAlignment="1">
      <alignment wrapText="1"/>
    </xf>
    <xf numFmtId="0" fontId="72" fillId="34" borderId="10" xfId="0" applyFont="1" applyFill="1" applyBorder="1" applyAlignment="1">
      <alignment horizontal="left" vertical="top"/>
    </xf>
    <xf numFmtId="3" fontId="73" fillId="0" borderId="10" xfId="0" applyNumberFormat="1" applyFont="1" applyFill="1" applyBorder="1" applyAlignment="1">
      <alignment horizontal="right" vertical="top"/>
    </xf>
    <xf numFmtId="43" fontId="73" fillId="0" borderId="10" xfId="42" applyFont="1" applyFill="1" applyBorder="1" applyAlignment="1">
      <alignment horizontal="left" vertical="top"/>
    </xf>
    <xf numFmtId="43" fontId="73" fillId="0" borderId="10" xfId="42" applyFont="1" applyFill="1" applyBorder="1" applyAlignment="1">
      <alignment horizontal="left" vertical="top" wrapText="1"/>
    </xf>
    <xf numFmtId="0" fontId="73" fillId="0" borderId="10" xfId="0" applyNumberFormat="1" applyFont="1" applyFill="1" applyBorder="1" applyAlignment="1">
      <alignment horizontal="left" vertical="top" wrapText="1"/>
    </xf>
    <xf numFmtId="179" fontId="72" fillId="34" borderId="10" xfId="42" applyNumberFormat="1" applyFont="1" applyFill="1" applyBorder="1" applyAlignment="1">
      <alignment horizontal="left" vertical="top"/>
    </xf>
    <xf numFmtId="0" fontId="72" fillId="38" borderId="20" xfId="0" applyFont="1" applyFill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0" xfId="0" applyFont="1" applyAlignment="1">
      <alignment horizontal="left" vertical="top"/>
    </xf>
    <xf numFmtId="0" fontId="72" fillId="36" borderId="10" xfId="0" applyFont="1" applyFill="1" applyBorder="1" applyAlignment="1">
      <alignment horizontal="left" vertical="top"/>
    </xf>
    <xf numFmtId="0" fontId="73" fillId="34" borderId="10" xfId="0" applyFont="1" applyFill="1" applyBorder="1" applyAlignment="1">
      <alignment horizontal="left" vertical="top" wrapText="1"/>
    </xf>
    <xf numFmtId="0" fontId="72" fillId="34" borderId="15" xfId="0" applyFont="1" applyFill="1" applyBorder="1" applyAlignment="1">
      <alignment horizontal="left" vertical="top" wrapText="1"/>
    </xf>
    <xf numFmtId="0" fontId="72" fillId="33" borderId="10" xfId="0" applyFont="1" applyFill="1" applyBorder="1" applyAlignment="1">
      <alignment horizontal="left" vertical="top" wrapText="1"/>
    </xf>
    <xf numFmtId="3" fontId="73" fillId="0" borderId="10" xfId="0" applyNumberFormat="1" applyFont="1" applyBorder="1" applyAlignment="1">
      <alignment horizontal="left" vertical="top"/>
    </xf>
    <xf numFmtId="3" fontId="73" fillId="35" borderId="10" xfId="0" applyNumberFormat="1" applyFont="1" applyFill="1" applyBorder="1" applyAlignment="1">
      <alignment horizontal="left" vertical="top"/>
    </xf>
    <xf numFmtId="3" fontId="73" fillId="0" borderId="10" xfId="0" applyNumberFormat="1" applyFont="1" applyFill="1" applyBorder="1" applyAlignment="1">
      <alignment horizontal="left" vertical="top" wrapText="1"/>
    </xf>
    <xf numFmtId="3" fontId="72" fillId="34" borderId="10" xfId="0" applyNumberFormat="1" applyFont="1" applyFill="1" applyBorder="1" applyAlignment="1">
      <alignment horizontal="right" vertical="top"/>
    </xf>
    <xf numFmtId="3" fontId="72" fillId="0" borderId="10" xfId="0" applyNumberFormat="1" applyFont="1" applyFill="1" applyBorder="1" applyAlignment="1">
      <alignment horizontal="left" vertical="top"/>
    </xf>
    <xf numFmtId="0" fontId="73" fillId="34" borderId="10" xfId="0" applyFont="1" applyFill="1" applyBorder="1" applyAlignment="1">
      <alignment horizontal="left" vertical="top"/>
    </xf>
    <xf numFmtId="0" fontId="73" fillId="39" borderId="10" xfId="0" applyFont="1" applyFill="1" applyBorder="1" applyAlignment="1">
      <alignment horizontal="left" vertical="top"/>
    </xf>
    <xf numFmtId="0" fontId="72" fillId="0" borderId="20" xfId="0" applyFont="1" applyFill="1" applyBorder="1" applyAlignment="1">
      <alignment vertical="top"/>
    </xf>
    <xf numFmtId="3" fontId="73" fillId="34" borderId="10" xfId="0" applyNumberFormat="1" applyFont="1" applyFill="1" applyBorder="1" applyAlignment="1">
      <alignment horizontal="right" vertical="top"/>
    </xf>
    <xf numFmtId="0" fontId="72" fillId="35" borderId="10" xfId="0" applyFont="1" applyFill="1" applyBorder="1" applyAlignment="1">
      <alignment horizontal="left" vertical="top"/>
    </xf>
    <xf numFmtId="0" fontId="72" fillId="34" borderId="20" xfId="0" applyFont="1" applyFill="1" applyBorder="1" applyAlignment="1">
      <alignment horizontal="left" vertical="top"/>
    </xf>
    <xf numFmtId="0" fontId="73" fillId="39" borderId="10" xfId="0" applyFont="1" applyFill="1" applyBorder="1" applyAlignment="1">
      <alignment horizontal="left" wrapText="1"/>
    </xf>
    <xf numFmtId="0" fontId="72" fillId="38" borderId="10" xfId="0" applyFont="1" applyFill="1" applyBorder="1" applyAlignment="1">
      <alignment horizontal="left" vertical="top" wrapText="1"/>
    </xf>
    <xf numFmtId="0" fontId="72" fillId="38" borderId="15" xfId="0" applyFont="1" applyFill="1" applyBorder="1" applyAlignment="1">
      <alignment horizontal="left" vertical="top" wrapText="1"/>
    </xf>
    <xf numFmtId="0" fontId="73" fillId="42" borderId="10" xfId="0" applyFont="1" applyFill="1" applyBorder="1" applyAlignment="1">
      <alignment horizontal="left" vertical="top"/>
    </xf>
    <xf numFmtId="179" fontId="72" fillId="42" borderId="10" xfId="42" applyNumberFormat="1" applyFont="1" applyFill="1" applyBorder="1" applyAlignment="1">
      <alignment horizontal="left" vertical="top"/>
    </xf>
    <xf numFmtId="3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9" fontId="0" fillId="0" borderId="0" xfId="0" applyNumberFormat="1" applyBorder="1" applyAlignment="1">
      <alignment vertical="top"/>
    </xf>
    <xf numFmtId="179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69" fillId="0" borderId="0" xfId="0" applyFont="1" applyBorder="1" applyAlignment="1">
      <alignment/>
    </xf>
    <xf numFmtId="0" fontId="72" fillId="42" borderId="10" xfId="0" applyFont="1" applyFill="1" applyBorder="1" applyAlignment="1">
      <alignment horizontal="left"/>
    </xf>
    <xf numFmtId="0" fontId="0" fillId="42" borderId="0" xfId="0" applyFill="1" applyAlignment="1">
      <alignment/>
    </xf>
    <xf numFmtId="0" fontId="2" fillId="42" borderId="11" xfId="42" applyNumberFormat="1" applyFont="1" applyFill="1" applyBorder="1" applyAlignment="1">
      <alignment horizontal="left" vertical="top"/>
    </xf>
    <xf numFmtId="0" fontId="73" fillId="42" borderId="0" xfId="0" applyFont="1" applyFill="1" applyAlignment="1">
      <alignment/>
    </xf>
    <xf numFmtId="0" fontId="72" fillId="43" borderId="10" xfId="0" applyFont="1" applyFill="1" applyBorder="1" applyAlignment="1">
      <alignment horizontal="left"/>
    </xf>
    <xf numFmtId="0" fontId="72" fillId="43" borderId="10" xfId="0" applyFont="1" applyFill="1" applyBorder="1" applyAlignment="1">
      <alignment/>
    </xf>
    <xf numFmtId="3" fontId="72" fillId="43" borderId="10" xfId="0" applyNumberFormat="1" applyFont="1" applyFill="1" applyBorder="1" applyAlignment="1">
      <alignment/>
    </xf>
    <xf numFmtId="0" fontId="0" fillId="43" borderId="0" xfId="0" applyFill="1" applyAlignment="1">
      <alignment/>
    </xf>
    <xf numFmtId="0" fontId="69" fillId="43" borderId="0" xfId="0" applyFont="1" applyFill="1" applyAlignment="1">
      <alignment/>
    </xf>
    <xf numFmtId="179" fontId="73" fillId="43" borderId="10" xfId="42" applyNumberFormat="1" applyFont="1" applyFill="1" applyBorder="1" applyAlignment="1">
      <alignment/>
    </xf>
    <xf numFmtId="0" fontId="73" fillId="43" borderId="0" xfId="0" applyFont="1" applyFill="1" applyAlignment="1">
      <alignment/>
    </xf>
    <xf numFmtId="0" fontId="5" fillId="44" borderId="10" xfId="42" applyNumberFormat="1" applyFont="1" applyFill="1" applyBorder="1" applyAlignment="1">
      <alignment horizontal="left"/>
    </xf>
    <xf numFmtId="179" fontId="0" fillId="44" borderId="11" xfId="42" applyNumberFormat="1" applyFont="1" applyFill="1" applyBorder="1" applyAlignment="1">
      <alignment/>
    </xf>
    <xf numFmtId="179" fontId="71" fillId="44" borderId="10" xfId="42" applyNumberFormat="1" applyFont="1" applyFill="1" applyBorder="1" applyAlignment="1">
      <alignment/>
    </xf>
    <xf numFmtId="179" fontId="75" fillId="44" borderId="10" xfId="0" applyNumberFormat="1" applyFont="1" applyFill="1" applyBorder="1" applyAlignment="1">
      <alignment/>
    </xf>
    <xf numFmtId="179" fontId="5" fillId="44" borderId="11" xfId="42" applyNumberFormat="1" applyFont="1" applyFill="1" applyBorder="1" applyAlignment="1">
      <alignment/>
    </xf>
    <xf numFmtId="43" fontId="75" fillId="44" borderId="10" xfId="42" applyFont="1" applyFill="1" applyBorder="1" applyAlignment="1">
      <alignment/>
    </xf>
    <xf numFmtId="179" fontId="14" fillId="0" borderId="10" xfId="42" applyNumberFormat="1" applyFont="1" applyFill="1" applyBorder="1" applyAlignment="1">
      <alignment/>
    </xf>
    <xf numFmtId="0" fontId="2" fillId="0" borderId="10" xfId="42" applyNumberFormat="1" applyFont="1" applyFill="1" applyBorder="1" applyAlignment="1">
      <alignment vertical="top"/>
    </xf>
    <xf numFmtId="0" fontId="75" fillId="0" borderId="10" xfId="0" applyFont="1" applyFill="1" applyBorder="1" applyAlignment="1">
      <alignment wrapText="1"/>
    </xf>
    <xf numFmtId="3" fontId="73" fillId="0" borderId="10" xfId="0" applyNumberFormat="1" applyFont="1" applyFill="1" applyBorder="1" applyAlignment="1">
      <alignment vertical="top"/>
    </xf>
    <xf numFmtId="3" fontId="2" fillId="0" borderId="10" xfId="42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left"/>
    </xf>
    <xf numFmtId="3" fontId="75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73" fillId="0" borderId="11" xfId="42" applyNumberFormat="1" applyFont="1" applyFill="1" applyBorder="1" applyAlignment="1">
      <alignment horizontal="left" vertical="top"/>
    </xf>
    <xf numFmtId="3" fontId="0" fillId="0" borderId="10" xfId="0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2" fillId="0" borderId="10" xfId="45" applyNumberFormat="1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left"/>
    </xf>
    <xf numFmtId="3" fontId="71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vertical="top"/>
    </xf>
    <xf numFmtId="179" fontId="72" fillId="0" borderId="11" xfId="42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/>
    </xf>
    <xf numFmtId="0" fontId="71" fillId="0" borderId="10" xfId="0" applyFont="1" applyFill="1" applyBorder="1" applyAlignment="1">
      <alignment/>
    </xf>
    <xf numFmtId="3" fontId="74" fillId="0" borderId="18" xfId="0" applyNumberFormat="1" applyFont="1" applyFill="1" applyBorder="1" applyAlignment="1">
      <alignment/>
    </xf>
    <xf numFmtId="179" fontId="74" fillId="0" borderId="18" xfId="42" applyNumberFormat="1" applyFont="1" applyFill="1" applyBorder="1" applyAlignment="1">
      <alignment/>
    </xf>
    <xf numFmtId="3" fontId="2" fillId="0" borderId="11" xfId="42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 vertical="top"/>
    </xf>
    <xf numFmtId="0" fontId="89" fillId="0" borderId="21" xfId="0" applyFont="1" applyBorder="1" applyAlignment="1">
      <alignment horizontal="center"/>
    </xf>
    <xf numFmtId="0" fontId="72" fillId="34" borderId="10" xfId="0" applyFont="1" applyFill="1" applyBorder="1" applyAlignment="1">
      <alignment horizontal="left" vertical="top"/>
    </xf>
    <xf numFmtId="0" fontId="72" fillId="42" borderId="10" xfId="0" applyFont="1" applyFill="1" applyBorder="1" applyAlignment="1">
      <alignment vertical="top"/>
    </xf>
    <xf numFmtId="3" fontId="73" fillId="0" borderId="10" xfId="0" applyNumberFormat="1" applyFont="1" applyFill="1" applyBorder="1" applyAlignment="1">
      <alignment horizontal="right"/>
    </xf>
    <xf numFmtId="0" fontId="72" fillId="0" borderId="10" xfId="42" applyNumberFormat="1" applyFont="1" applyFill="1" applyBorder="1" applyAlignment="1">
      <alignment/>
    </xf>
    <xf numFmtId="3" fontId="72" fillId="41" borderId="10" xfId="42" applyNumberFormat="1" applyFont="1" applyFill="1" applyBorder="1" applyAlignment="1">
      <alignment horizontal="center" wrapText="1"/>
    </xf>
    <xf numFmtId="3" fontId="72" fillId="41" borderId="10" xfId="42" applyNumberFormat="1" applyFont="1" applyFill="1" applyBorder="1" applyAlignment="1">
      <alignment horizontal="center" vertical="center" wrapText="1"/>
    </xf>
    <xf numFmtId="0" fontId="73" fillId="0" borderId="10" xfId="42" applyNumberFormat="1" applyFont="1" applyFill="1" applyBorder="1" applyAlignment="1">
      <alignment/>
    </xf>
    <xf numFmtId="0" fontId="72" fillId="25" borderId="10" xfId="42" applyNumberFormat="1" applyFont="1" applyFill="1" applyBorder="1" applyAlignment="1">
      <alignment vertical="top"/>
    </xf>
    <xf numFmtId="179" fontId="73" fillId="25" borderId="10" xfId="42" applyNumberFormat="1" applyFont="1" applyFill="1" applyBorder="1" applyAlignment="1">
      <alignment horizontal="left" vertical="top"/>
    </xf>
    <xf numFmtId="3" fontId="72" fillId="25" borderId="10" xfId="42" applyNumberFormat="1" applyFont="1" applyFill="1" applyBorder="1" applyAlignment="1">
      <alignment horizontal="right" vertical="top"/>
    </xf>
    <xf numFmtId="0" fontId="2" fillId="25" borderId="11" xfId="42" applyNumberFormat="1" applyFont="1" applyFill="1" applyBorder="1" applyAlignment="1">
      <alignment horizontal="left" vertical="top"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72" fillId="25" borderId="10" xfId="42" applyNumberFormat="1" applyFont="1" applyFill="1" applyBorder="1" applyAlignment="1">
      <alignment horizontal="left" vertical="top" wrapText="1"/>
    </xf>
    <xf numFmtId="0" fontId="73" fillId="25" borderId="10" xfId="0" applyFont="1" applyFill="1" applyBorder="1" applyAlignment="1">
      <alignment horizontal="left" vertical="top"/>
    </xf>
    <xf numFmtId="3" fontId="72" fillId="25" borderId="10" xfId="42" applyNumberFormat="1" applyFont="1" applyFill="1" applyBorder="1" applyAlignment="1">
      <alignment horizontal="right" vertical="top" wrapText="1"/>
    </xf>
    <xf numFmtId="179" fontId="4" fillId="25" borderId="11" xfId="42" applyNumberFormat="1" applyFont="1" applyFill="1" applyBorder="1" applyAlignment="1">
      <alignment vertical="top"/>
    </xf>
    <xf numFmtId="0" fontId="72" fillId="25" borderId="10" xfId="42" applyNumberFormat="1" applyFont="1" applyFill="1" applyBorder="1" applyAlignment="1">
      <alignment vertical="top" wrapText="1"/>
    </xf>
    <xf numFmtId="179" fontId="72" fillId="25" borderId="10" xfId="42" applyNumberFormat="1" applyFont="1" applyFill="1" applyBorder="1" applyAlignment="1">
      <alignment horizontal="left" vertical="top" wrapText="1"/>
    </xf>
    <xf numFmtId="0" fontId="72" fillId="25" borderId="10" xfId="0" applyFont="1" applyFill="1" applyBorder="1" applyAlignment="1">
      <alignment vertical="top"/>
    </xf>
    <xf numFmtId="0" fontId="72" fillId="25" borderId="10" xfId="0" applyFont="1" applyFill="1" applyBorder="1" applyAlignment="1">
      <alignment horizontal="left" vertical="top"/>
    </xf>
    <xf numFmtId="0" fontId="72" fillId="0" borderId="10" xfId="0" applyNumberFormat="1" applyFont="1" applyFill="1" applyBorder="1" applyAlignment="1">
      <alignment horizontal="left"/>
    </xf>
    <xf numFmtId="0" fontId="2" fillId="36" borderId="11" xfId="42" applyNumberFormat="1" applyFont="1" applyFill="1" applyBorder="1" applyAlignment="1">
      <alignment horizontal="left" vertical="top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4" borderId="0" xfId="0" applyFill="1" applyBorder="1" applyAlignment="1">
      <alignment/>
    </xf>
    <xf numFmtId="0" fontId="72" fillId="0" borderId="15" xfId="0" applyFont="1" applyFill="1" applyBorder="1" applyAlignment="1">
      <alignment vertical="top"/>
    </xf>
    <xf numFmtId="0" fontId="73" fillId="0" borderId="15" xfId="0" applyFont="1" applyFill="1" applyBorder="1" applyAlignment="1">
      <alignment vertical="top"/>
    </xf>
    <xf numFmtId="0" fontId="73" fillId="0" borderId="12" xfId="0" applyFont="1" applyBorder="1" applyAlignment="1">
      <alignment horizontal="left" vertical="top"/>
    </xf>
    <xf numFmtId="3" fontId="72" fillId="34" borderId="10" xfId="42" applyNumberFormat="1" applyFont="1" applyFill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left"/>
    </xf>
    <xf numFmtId="0" fontId="69" fillId="0" borderId="11" xfId="0" applyFont="1" applyBorder="1" applyAlignment="1">
      <alignment horizontal="left"/>
    </xf>
    <xf numFmtId="0" fontId="69" fillId="0" borderId="10" xfId="0" applyFont="1" applyBorder="1" applyAlignment="1">
      <alignment/>
    </xf>
    <xf numFmtId="3" fontId="69" fillId="0" borderId="10" xfId="0" applyNumberFormat="1" applyFont="1" applyBorder="1" applyAlignment="1">
      <alignment/>
    </xf>
    <xf numFmtId="3" fontId="73" fillId="4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1" xfId="42" applyFont="1" applyBorder="1" applyAlignment="1">
      <alignment vertical="top"/>
    </xf>
    <xf numFmtId="43" fontId="0" fillId="0" borderId="11" xfId="42" applyFont="1" applyBorder="1" applyAlignment="1">
      <alignment/>
    </xf>
    <xf numFmtId="43" fontId="0" fillId="0" borderId="11" xfId="42" applyFont="1" applyFill="1" applyBorder="1" applyAlignment="1">
      <alignment/>
    </xf>
    <xf numFmtId="3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69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0" fillId="0" borderId="10" xfId="0" applyFill="1" applyBorder="1" applyAlignment="1">
      <alignment vertical="top"/>
    </xf>
    <xf numFmtId="3" fontId="72" fillId="0" borderId="10" xfId="0" applyNumberFormat="1" applyFont="1" applyFill="1" applyBorder="1" applyAlignment="1">
      <alignment vertical="top" wrapText="1"/>
    </xf>
    <xf numFmtId="179" fontId="0" fillId="0" borderId="11" xfId="42" applyNumberFormat="1" applyFont="1" applyBorder="1" applyAlignment="1">
      <alignment vertical="top"/>
    </xf>
    <xf numFmtId="179" fontId="0" fillId="0" borderId="11" xfId="42" applyNumberFormat="1" applyFont="1" applyFill="1" applyBorder="1" applyAlignment="1">
      <alignment/>
    </xf>
    <xf numFmtId="179" fontId="69" fillId="0" borderId="11" xfId="42" applyNumberFormat="1" applyFont="1" applyBorder="1" applyAlignment="1">
      <alignment/>
    </xf>
    <xf numFmtId="179" fontId="69" fillId="0" borderId="11" xfId="42" applyNumberFormat="1" applyFont="1" applyFill="1" applyBorder="1" applyAlignment="1">
      <alignment/>
    </xf>
    <xf numFmtId="179" fontId="7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3" fontId="75" fillId="0" borderId="10" xfId="0" applyNumberFormat="1" applyFont="1" applyFill="1" applyBorder="1" applyAlignment="1">
      <alignment/>
    </xf>
    <xf numFmtId="179" fontId="0" fillId="0" borderId="10" xfId="42" applyNumberFormat="1" applyFont="1" applyFill="1" applyBorder="1" applyAlignment="1">
      <alignment/>
    </xf>
    <xf numFmtId="3" fontId="75" fillId="0" borderId="10" xfId="0" applyNumberFormat="1" applyFont="1" applyFill="1" applyBorder="1" applyAlignment="1">
      <alignment vertical="top"/>
    </xf>
    <xf numFmtId="0" fontId="2" fillId="0" borderId="18" xfId="0" applyFont="1" applyFill="1" applyBorder="1" applyAlignment="1">
      <alignment horizontal="left" vertical="top"/>
    </xf>
    <xf numFmtId="3" fontId="72" fillId="33" borderId="10" xfId="0" applyNumberFormat="1" applyFont="1" applyFill="1" applyBorder="1" applyAlignment="1">
      <alignment vertical="top" wrapText="1"/>
    </xf>
    <xf numFmtId="179" fontId="72" fillId="38" borderId="10" xfId="42" applyNumberFormat="1" applyFont="1" applyFill="1" applyBorder="1" applyAlignment="1">
      <alignment vertical="top"/>
    </xf>
    <xf numFmtId="179" fontId="0" fillId="0" borderId="10" xfId="42" applyNumberFormat="1" applyFont="1" applyFill="1" applyBorder="1" applyAlignment="1">
      <alignment vertical="top"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179" fontId="0" fillId="0" borderId="10" xfId="42" applyNumberFormat="1" applyFont="1" applyFill="1" applyBorder="1" applyAlignment="1">
      <alignment/>
    </xf>
    <xf numFmtId="179" fontId="75" fillId="0" borderId="10" xfId="42" applyNumberFormat="1" applyFont="1" applyFill="1" applyBorder="1" applyAlignment="1">
      <alignment horizontal="right"/>
    </xf>
    <xf numFmtId="3" fontId="74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79" fontId="75" fillId="0" borderId="10" xfId="42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72" fillId="0" borderId="10" xfId="42" applyNumberFormat="1" applyFont="1" applyBorder="1" applyAlignment="1">
      <alignment vertical="top" wrapText="1"/>
    </xf>
    <xf numFmtId="179" fontId="5" fillId="0" borderId="10" xfId="42" applyNumberFormat="1" applyFont="1" applyFill="1" applyBorder="1" applyAlignment="1">
      <alignment/>
    </xf>
    <xf numFmtId="179" fontId="0" fillId="0" borderId="10" xfId="42" applyNumberFormat="1" applyFont="1" applyBorder="1" applyAlignment="1">
      <alignment/>
    </xf>
    <xf numFmtId="179" fontId="75" fillId="0" borderId="10" xfId="42" applyNumberFormat="1" applyFont="1" applyBorder="1" applyAlignment="1">
      <alignment horizontal="right"/>
    </xf>
    <xf numFmtId="179" fontId="0" fillId="0" borderId="10" xfId="42" applyNumberFormat="1" applyFont="1" applyBorder="1" applyAlignment="1">
      <alignment horizontal="right" wrapText="1"/>
    </xf>
    <xf numFmtId="179" fontId="0" fillId="0" borderId="0" xfId="42" applyNumberFormat="1" applyFont="1" applyAlignment="1">
      <alignment/>
    </xf>
    <xf numFmtId="179" fontId="72" fillId="0" borderId="10" xfId="42" applyNumberFormat="1" applyFont="1" applyFill="1" applyBorder="1" applyAlignment="1">
      <alignment vertical="top" wrapText="1"/>
    </xf>
    <xf numFmtId="179" fontId="0" fillId="0" borderId="10" xfId="42" applyNumberFormat="1" applyFont="1" applyFill="1" applyBorder="1" applyAlignment="1">
      <alignment vertical="top"/>
    </xf>
    <xf numFmtId="179" fontId="0" fillId="0" borderId="10" xfId="42" applyNumberFormat="1" applyFont="1" applyFill="1" applyBorder="1" applyAlignment="1">
      <alignment/>
    </xf>
    <xf numFmtId="179" fontId="90" fillId="0" borderId="10" xfId="42" applyNumberFormat="1" applyFont="1" applyBorder="1" applyAlignment="1">
      <alignment/>
    </xf>
    <xf numFmtId="179" fontId="14" fillId="0" borderId="10" xfId="42" applyNumberFormat="1" applyFont="1" applyBorder="1" applyAlignment="1">
      <alignment/>
    </xf>
    <xf numFmtId="3" fontId="73" fillId="0" borderId="11" xfId="0" applyNumberFormat="1" applyFont="1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179" fontId="14" fillId="39" borderId="10" xfId="42" applyNumberFormat="1" applyFont="1" applyFill="1" applyBorder="1" applyAlignment="1">
      <alignment/>
    </xf>
    <xf numFmtId="0" fontId="72" fillId="34" borderId="10" xfId="0" applyFont="1" applyFill="1" applyBorder="1" applyAlignment="1">
      <alignment horizontal="left" vertical="top"/>
    </xf>
    <xf numFmtId="0" fontId="72" fillId="42" borderId="10" xfId="0" applyFont="1" applyFill="1" applyBorder="1" applyAlignment="1">
      <alignment horizontal="left" vertical="top"/>
    </xf>
    <xf numFmtId="0" fontId="73" fillId="0" borderId="11" xfId="0" applyFont="1" applyFill="1" applyBorder="1" applyAlignment="1">
      <alignment horizontal="left" vertical="top"/>
    </xf>
    <xf numFmtId="0" fontId="72" fillId="42" borderId="10" xfId="0" applyFont="1" applyFill="1" applyBorder="1" applyAlignment="1">
      <alignment vertical="top"/>
    </xf>
    <xf numFmtId="179" fontId="72" fillId="42" borderId="10" xfId="42" applyNumberFormat="1" applyFont="1" applyFill="1" applyBorder="1" applyAlignment="1">
      <alignment horizontal="left" vertical="top" wrapText="1"/>
    </xf>
    <xf numFmtId="179" fontId="73" fillId="39" borderId="10" xfId="42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10" xfId="42" applyNumberFormat="1" applyFont="1" applyFill="1" applyBorder="1" applyAlignment="1">
      <alignment vertical="top"/>
    </xf>
    <xf numFmtId="179" fontId="0" fillId="0" borderId="10" xfId="42" applyNumberFormat="1" applyFont="1" applyFill="1" applyBorder="1" applyAlignment="1">
      <alignment/>
    </xf>
    <xf numFmtId="179" fontId="73" fillId="0" borderId="22" xfId="0" applyNumberFormat="1" applyFont="1" applyBorder="1" applyAlignment="1">
      <alignment/>
    </xf>
    <xf numFmtId="179" fontId="91" fillId="0" borderId="22" xfId="0" applyNumberFormat="1" applyFont="1" applyBorder="1" applyAlignment="1">
      <alignment/>
    </xf>
    <xf numFmtId="179" fontId="73" fillId="0" borderId="11" xfId="42" applyNumberFormat="1" applyFont="1" applyFill="1" applyBorder="1" applyAlignment="1">
      <alignment/>
    </xf>
    <xf numFmtId="3" fontId="75" fillId="39" borderId="10" xfId="0" applyNumberFormat="1" applyFont="1" applyFill="1" applyBorder="1" applyAlignment="1">
      <alignment/>
    </xf>
    <xf numFmtId="179" fontId="0" fillId="0" borderId="10" xfId="42" applyNumberFormat="1" applyFont="1" applyBorder="1" applyAlignment="1">
      <alignment/>
    </xf>
    <xf numFmtId="179" fontId="75" fillId="39" borderId="10" xfId="42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78" fillId="0" borderId="10" xfId="42" applyNumberFormat="1" applyFont="1" applyBorder="1" applyAlignment="1">
      <alignment vertical="top"/>
    </xf>
    <xf numFmtId="3" fontId="0" fillId="0" borderId="10" xfId="42" applyNumberFormat="1" applyFont="1" applyBorder="1" applyAlignment="1">
      <alignment vertical="top"/>
    </xf>
    <xf numFmtId="3" fontId="0" fillId="0" borderId="10" xfId="42" applyNumberFormat="1" applyFont="1" applyFill="1" applyBorder="1" applyAlignment="1">
      <alignment vertical="top"/>
    </xf>
    <xf numFmtId="3" fontId="0" fillId="45" borderId="10" xfId="42" applyNumberFormat="1" applyFont="1" applyFill="1" applyBorder="1" applyAlignment="1">
      <alignment vertical="top"/>
    </xf>
    <xf numFmtId="179" fontId="72" fillId="0" borderId="10" xfId="0" applyNumberFormat="1" applyFont="1" applyBorder="1" applyAlignment="1">
      <alignment vertical="top"/>
    </xf>
    <xf numFmtId="179" fontId="4" fillId="35" borderId="11" xfId="42" applyNumberFormat="1" applyFont="1" applyFill="1" applyBorder="1" applyAlignment="1">
      <alignment horizontal="right" vertical="top"/>
    </xf>
    <xf numFmtId="3" fontId="69" fillId="33" borderId="10" xfId="0" applyNumberFormat="1" applyFont="1" applyFill="1" applyBorder="1" applyAlignment="1">
      <alignment/>
    </xf>
    <xf numFmtId="179" fontId="72" fillId="0" borderId="11" xfId="0" applyNumberFormat="1" applyFont="1" applyBorder="1" applyAlignment="1">
      <alignment/>
    </xf>
    <xf numFmtId="179" fontId="72" fillId="0" borderId="11" xfId="0" applyNumberFormat="1" applyFont="1" applyBorder="1" applyAlignment="1">
      <alignment vertical="top"/>
    </xf>
    <xf numFmtId="179" fontId="0" fillId="0" borderId="10" xfId="42" applyNumberFormat="1" applyFont="1" applyFill="1" applyBorder="1" applyAlignment="1">
      <alignment/>
    </xf>
    <xf numFmtId="3" fontId="0" fillId="39" borderId="10" xfId="42" applyNumberFormat="1" applyFont="1" applyFill="1" applyBorder="1" applyAlignment="1">
      <alignment/>
    </xf>
    <xf numFmtId="3" fontId="14" fillId="0" borderId="10" xfId="42" applyNumberFormat="1" applyFont="1" applyBorder="1" applyAlignment="1">
      <alignment/>
    </xf>
    <xf numFmtId="3" fontId="14" fillId="39" borderId="10" xfId="42" applyNumberFormat="1" applyFont="1" applyFill="1" applyBorder="1" applyAlignment="1">
      <alignment/>
    </xf>
    <xf numFmtId="178" fontId="0" fillId="0" borderId="10" xfId="0" applyNumberFormat="1" applyFill="1" applyBorder="1" applyAlignment="1">
      <alignment/>
    </xf>
    <xf numFmtId="178" fontId="74" fillId="33" borderId="11" xfId="42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10" xfId="42" applyNumberFormat="1" applyFont="1" applyFill="1" applyBorder="1" applyAlignment="1">
      <alignment vertical="top"/>
    </xf>
    <xf numFmtId="179" fontId="0" fillId="0" borderId="10" xfId="42" applyNumberFormat="1" applyFont="1" applyBorder="1" applyAlignment="1">
      <alignment vertical="top"/>
    </xf>
    <xf numFmtId="179" fontId="0" fillId="0" borderId="10" xfId="42" applyNumberFormat="1" applyFont="1" applyBorder="1" applyAlignment="1">
      <alignment/>
    </xf>
    <xf numFmtId="179" fontId="71" fillId="38" borderId="10" xfId="42" applyNumberFormat="1" applyFont="1" applyFill="1" applyBorder="1" applyAlignment="1">
      <alignment/>
    </xf>
    <xf numFmtId="179" fontId="0" fillId="0" borderId="10" xfId="42" applyNumberFormat="1" applyFont="1" applyBorder="1" applyAlignment="1">
      <alignment horizontal="right"/>
    </xf>
    <xf numFmtId="179" fontId="69" fillId="46" borderId="10" xfId="42" applyNumberFormat="1" applyFont="1" applyFill="1" applyBorder="1" applyAlignment="1">
      <alignment/>
    </xf>
    <xf numFmtId="179" fontId="72" fillId="0" borderId="12" xfId="42" applyNumberFormat="1" applyFont="1" applyBorder="1" applyAlignment="1">
      <alignment horizontal="center" vertical="top" wrapText="1"/>
    </xf>
    <xf numFmtId="3" fontId="72" fillId="0" borderId="10" xfId="0" applyNumberFormat="1" applyFont="1" applyFill="1" applyBorder="1" applyAlignment="1">
      <alignment horizontal="center" vertical="top" wrapText="1"/>
    </xf>
    <xf numFmtId="179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79" fontId="4" fillId="34" borderId="11" xfId="42" applyNumberFormat="1" applyFont="1" applyFill="1" applyBorder="1" applyAlignment="1">
      <alignment horizontal="center" vertical="top" wrapText="1"/>
    </xf>
    <xf numFmtId="179" fontId="73" fillId="35" borderId="11" xfId="0" applyNumberFormat="1" applyFont="1" applyFill="1" applyBorder="1" applyAlignment="1">
      <alignment/>
    </xf>
    <xf numFmtId="0" fontId="73" fillId="0" borderId="0" xfId="0" applyFont="1" applyBorder="1" applyAlignment="1">
      <alignment/>
    </xf>
    <xf numFmtId="0" fontId="72" fillId="34" borderId="0" xfId="0" applyFont="1" applyFill="1" applyBorder="1" applyAlignment="1">
      <alignment horizontal="center"/>
    </xf>
    <xf numFmtId="179" fontId="72" fillId="0" borderId="0" xfId="0" applyNumberFormat="1" applyFont="1" applyBorder="1" applyAlignment="1">
      <alignment/>
    </xf>
    <xf numFmtId="179" fontId="72" fillId="0" borderId="0" xfId="42" applyNumberFormat="1" applyFont="1" applyBorder="1" applyAlignment="1">
      <alignment/>
    </xf>
    <xf numFmtId="178" fontId="0" fillId="0" borderId="10" xfId="42" applyNumberFormat="1" applyFont="1" applyBorder="1" applyAlignment="1">
      <alignment vertical="top"/>
    </xf>
    <xf numFmtId="179" fontId="72" fillId="0" borderId="0" xfId="42" applyNumberFormat="1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72" fillId="34" borderId="11" xfId="0" applyFont="1" applyFill="1" applyBorder="1" applyAlignment="1">
      <alignment horizontal="center" vertical="top"/>
    </xf>
    <xf numFmtId="0" fontId="72" fillId="34" borderId="20" xfId="0" applyFont="1" applyFill="1" applyBorder="1" applyAlignment="1">
      <alignment horizontal="center" vertical="top"/>
    </xf>
    <xf numFmtId="0" fontId="72" fillId="34" borderId="15" xfId="0" applyFont="1" applyFill="1" applyBorder="1" applyAlignment="1">
      <alignment horizontal="center" vertical="top"/>
    </xf>
    <xf numFmtId="0" fontId="4" fillId="37" borderId="11" xfId="0" applyFont="1" applyFill="1" applyBorder="1" applyAlignment="1">
      <alignment horizontal="center" vertical="top" wrapText="1"/>
    </xf>
    <xf numFmtId="0" fontId="4" fillId="37" borderId="20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horizontal="center" vertical="top" wrapText="1"/>
    </xf>
    <xf numFmtId="0" fontId="93" fillId="35" borderId="11" xfId="0" applyFont="1" applyFill="1" applyBorder="1" applyAlignment="1">
      <alignment horizontal="center"/>
    </xf>
    <xf numFmtId="0" fontId="93" fillId="35" borderId="15" xfId="0" applyFont="1" applyFill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42" borderId="11" xfId="42" applyNumberFormat="1" applyFont="1" applyFill="1" applyBorder="1" applyAlignment="1">
      <alignment vertical="top"/>
    </xf>
    <xf numFmtId="0" fontId="72" fillId="42" borderId="15" xfId="42" applyNumberFormat="1" applyFont="1" applyFill="1" applyBorder="1" applyAlignment="1">
      <alignment vertical="top"/>
    </xf>
    <xf numFmtId="179" fontId="72" fillId="42" borderId="10" xfId="42" applyNumberFormat="1" applyFont="1" applyFill="1" applyBorder="1" applyAlignment="1">
      <alignment horizontal="left" vertical="top" wrapText="1"/>
    </xf>
    <xf numFmtId="0" fontId="72" fillId="42" borderId="10" xfId="0" applyFont="1" applyFill="1" applyBorder="1" applyAlignment="1">
      <alignment horizontal="left" vertical="top"/>
    </xf>
    <xf numFmtId="179" fontId="72" fillId="42" borderId="11" xfId="42" applyNumberFormat="1" applyFont="1" applyFill="1" applyBorder="1" applyAlignment="1">
      <alignment horizontal="center" vertical="top" wrapText="1"/>
    </xf>
    <xf numFmtId="179" fontId="72" fillId="42" borderId="20" xfId="42" applyNumberFormat="1" applyFont="1" applyFill="1" applyBorder="1" applyAlignment="1">
      <alignment horizontal="center" vertical="top" wrapText="1"/>
    </xf>
    <xf numFmtId="179" fontId="72" fillId="42" borderId="15" xfId="42" applyNumberFormat="1" applyFont="1" applyFill="1" applyBorder="1" applyAlignment="1">
      <alignment horizontal="center" vertical="top" wrapText="1"/>
    </xf>
    <xf numFmtId="0" fontId="72" fillId="42" borderId="11" xfId="0" applyFont="1" applyFill="1" applyBorder="1" applyAlignment="1">
      <alignment horizontal="center" vertical="top"/>
    </xf>
    <xf numFmtId="0" fontId="72" fillId="42" borderId="20" xfId="0" applyFont="1" applyFill="1" applyBorder="1" applyAlignment="1">
      <alignment horizontal="center" vertical="top"/>
    </xf>
    <xf numFmtId="0" fontId="72" fillId="42" borderId="15" xfId="0" applyFont="1" applyFill="1" applyBorder="1" applyAlignment="1">
      <alignment horizontal="center" vertical="top"/>
    </xf>
    <xf numFmtId="179" fontId="72" fillId="41" borderId="11" xfId="42" applyNumberFormat="1" applyFont="1" applyFill="1" applyBorder="1" applyAlignment="1">
      <alignment horizontal="center" vertical="top"/>
    </xf>
    <xf numFmtId="179" fontId="72" fillId="41" borderId="20" xfId="42" applyNumberFormat="1" applyFont="1" applyFill="1" applyBorder="1" applyAlignment="1">
      <alignment horizontal="center" vertical="top"/>
    </xf>
    <xf numFmtId="0" fontId="72" fillId="42" borderId="10" xfId="42" applyNumberFormat="1" applyFont="1" applyFill="1" applyBorder="1" applyAlignment="1">
      <alignment horizontal="left"/>
    </xf>
    <xf numFmtId="0" fontId="72" fillId="42" borderId="11" xfId="42" applyNumberFormat="1" applyFont="1" applyFill="1" applyBorder="1" applyAlignment="1">
      <alignment horizontal="center"/>
    </xf>
    <xf numFmtId="0" fontId="72" fillId="42" borderId="20" xfId="42" applyNumberFormat="1" applyFont="1" applyFill="1" applyBorder="1" applyAlignment="1">
      <alignment horizontal="center"/>
    </xf>
    <xf numFmtId="0" fontId="72" fillId="42" borderId="15" xfId="42" applyNumberFormat="1" applyFont="1" applyFill="1" applyBorder="1" applyAlignment="1">
      <alignment horizontal="center"/>
    </xf>
    <xf numFmtId="0" fontId="72" fillId="42" borderId="10" xfId="0" applyFont="1" applyFill="1" applyBorder="1" applyAlignment="1">
      <alignment horizontal="left" vertical="top" wrapText="1"/>
    </xf>
    <xf numFmtId="0" fontId="72" fillId="42" borderId="11" xfId="0" applyNumberFormat="1" applyFont="1" applyFill="1" applyBorder="1" applyAlignment="1">
      <alignment vertical="top"/>
    </xf>
    <xf numFmtId="0" fontId="72" fillId="42" borderId="20" xfId="0" applyNumberFormat="1" applyFont="1" applyFill="1" applyBorder="1" applyAlignment="1">
      <alignment vertical="top"/>
    </xf>
    <xf numFmtId="0" fontId="72" fillId="42" borderId="10" xfId="0" applyFont="1" applyFill="1" applyBorder="1" applyAlignment="1">
      <alignment vertical="top"/>
    </xf>
    <xf numFmtId="0" fontId="72" fillId="42" borderId="11" xfId="0" applyFont="1" applyFill="1" applyBorder="1" applyAlignment="1">
      <alignment horizontal="left" vertical="top"/>
    </xf>
    <xf numFmtId="0" fontId="72" fillId="42" borderId="15" xfId="0" applyFont="1" applyFill="1" applyBorder="1" applyAlignment="1">
      <alignment horizontal="left" vertical="top"/>
    </xf>
    <xf numFmtId="0" fontId="72" fillId="0" borderId="11" xfId="0" applyFont="1" applyBorder="1" applyAlignment="1">
      <alignment horizontal="left" vertical="top"/>
    </xf>
    <xf numFmtId="0" fontId="72" fillId="0" borderId="20" xfId="0" applyFont="1" applyBorder="1" applyAlignment="1">
      <alignment horizontal="left" vertical="top"/>
    </xf>
    <xf numFmtId="0" fontId="72" fillId="0" borderId="17" xfId="0" applyFont="1" applyFill="1" applyBorder="1" applyAlignment="1">
      <alignment horizontal="left" vertical="top"/>
    </xf>
    <xf numFmtId="0" fontId="72" fillId="0" borderId="23" xfId="0" applyFont="1" applyFill="1" applyBorder="1" applyAlignment="1">
      <alignment horizontal="left" vertical="top"/>
    </xf>
    <xf numFmtId="0" fontId="72" fillId="34" borderId="10" xfId="0" applyFont="1" applyFill="1" applyBorder="1" applyAlignment="1">
      <alignment horizontal="left" vertical="top"/>
    </xf>
    <xf numFmtId="0" fontId="73" fillId="0" borderId="11" xfId="0" applyFont="1" applyFill="1" applyBorder="1" applyAlignment="1">
      <alignment horizontal="left" vertical="top" wrapText="1"/>
    </xf>
    <xf numFmtId="0" fontId="73" fillId="0" borderId="15" xfId="0" applyFont="1" applyFill="1" applyBorder="1" applyAlignment="1">
      <alignment horizontal="left" vertical="top" wrapText="1"/>
    </xf>
    <xf numFmtId="0" fontId="72" fillId="42" borderId="11" xfId="0" applyFont="1" applyFill="1" applyBorder="1" applyAlignment="1">
      <alignment vertical="top"/>
    </xf>
    <xf numFmtId="0" fontId="72" fillId="42" borderId="20" xfId="0" applyFont="1" applyFill="1" applyBorder="1" applyAlignment="1">
      <alignment vertical="top"/>
    </xf>
    <xf numFmtId="0" fontId="72" fillId="34" borderId="11" xfId="0" applyFont="1" applyFill="1" applyBorder="1" applyAlignment="1">
      <alignment vertical="top"/>
    </xf>
    <xf numFmtId="0" fontId="72" fillId="34" borderId="20" xfId="0" applyFont="1" applyFill="1" applyBorder="1" applyAlignment="1">
      <alignment vertical="top"/>
    </xf>
    <xf numFmtId="0" fontId="73" fillId="0" borderId="11" xfId="0" applyFont="1" applyFill="1" applyBorder="1" applyAlignment="1">
      <alignment horizontal="left" vertical="top"/>
    </xf>
    <xf numFmtId="0" fontId="73" fillId="0" borderId="15" xfId="0" applyFont="1" applyFill="1" applyBorder="1" applyAlignment="1">
      <alignment horizontal="left" vertical="top"/>
    </xf>
    <xf numFmtId="0" fontId="79" fillId="0" borderId="11" xfId="0" applyFont="1" applyBorder="1" applyAlignment="1">
      <alignment horizontal="left" vertical="top"/>
    </xf>
    <xf numFmtId="0" fontId="79" fillId="0" borderId="15" xfId="0" applyFont="1" applyBorder="1" applyAlignment="1">
      <alignment horizontal="left" vertical="top"/>
    </xf>
    <xf numFmtId="0" fontId="79" fillId="0" borderId="11" xfId="0" applyFont="1" applyBorder="1" applyAlignment="1">
      <alignment horizontal="center" wrapText="1"/>
    </xf>
    <xf numFmtId="0" fontId="79" fillId="0" borderId="20" xfId="0" applyFont="1" applyBorder="1" applyAlignment="1">
      <alignment horizontal="center" wrapText="1"/>
    </xf>
    <xf numFmtId="0" fontId="72" fillId="0" borderId="11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72" fillId="0" borderId="15" xfId="0" applyFont="1" applyBorder="1" applyAlignment="1">
      <alignment horizontal="left" vertical="top"/>
    </xf>
    <xf numFmtId="0" fontId="72" fillId="0" borderId="24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11" xfId="0" applyFont="1" applyFill="1" applyBorder="1" applyAlignment="1">
      <alignment horizontal="left"/>
    </xf>
    <xf numFmtId="0" fontId="72" fillId="0" borderId="15" xfId="0" applyFont="1" applyFill="1" applyBorder="1" applyAlignment="1">
      <alignment horizontal="left"/>
    </xf>
    <xf numFmtId="179" fontId="6" fillId="33" borderId="10" xfId="42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6" fillId="39" borderId="11" xfId="0" applyFont="1" applyFill="1" applyBorder="1" applyAlignment="1">
      <alignment horizontal="center"/>
    </xf>
    <xf numFmtId="179" fontId="4" fillId="33" borderId="10" xfId="42" applyNumberFormat="1" applyFont="1" applyFill="1" applyBorder="1" applyAlignment="1">
      <alignment horizontal="left"/>
    </xf>
    <xf numFmtId="179" fontId="6" fillId="38" borderId="10" xfId="42" applyNumberFormat="1" applyFont="1" applyFill="1" applyBorder="1" applyAlignment="1">
      <alignment horizontal="center"/>
    </xf>
    <xf numFmtId="179" fontId="6" fillId="33" borderId="11" xfId="42" applyNumberFormat="1" applyFont="1" applyFill="1" applyBorder="1" applyAlignment="1">
      <alignment horizontal="center"/>
    </xf>
    <xf numFmtId="179" fontId="6" fillId="33" borderId="15" xfId="42" applyNumberFormat="1" applyFont="1" applyFill="1" applyBorder="1" applyAlignment="1">
      <alignment horizontal="center"/>
    </xf>
    <xf numFmtId="0" fontId="82" fillId="0" borderId="10" xfId="0" applyFont="1" applyBorder="1" applyAlignment="1">
      <alignment vertical="top" wrapText="1"/>
    </xf>
    <xf numFmtId="0" fontId="82" fillId="0" borderId="10" xfId="0" applyFont="1" applyBorder="1" applyAlignment="1">
      <alignment wrapText="1"/>
    </xf>
    <xf numFmtId="0" fontId="82" fillId="0" borderId="10" xfId="0" applyFont="1" applyBorder="1" applyAlignment="1">
      <alignment horizontal="center" vertical="top" wrapText="1"/>
    </xf>
    <xf numFmtId="0" fontId="82" fillId="0" borderId="25" xfId="0" applyFont="1" applyBorder="1" applyAlignment="1">
      <alignment wrapText="1"/>
    </xf>
    <xf numFmtId="0" fontId="82" fillId="0" borderId="13" xfId="0" applyFont="1" applyBorder="1" applyAlignment="1">
      <alignment wrapText="1"/>
    </xf>
    <xf numFmtId="0" fontId="82" fillId="0" borderId="11" xfId="0" applyFont="1" applyBorder="1" applyAlignment="1">
      <alignment vertical="top" wrapText="1"/>
    </xf>
    <xf numFmtId="0" fontId="82" fillId="0" borderId="15" xfId="0" applyFont="1" applyBorder="1" applyAlignment="1">
      <alignment vertical="top" wrapText="1"/>
    </xf>
    <xf numFmtId="179" fontId="82" fillId="0" borderId="10" xfId="42" applyNumberFormat="1" applyFont="1" applyBorder="1" applyAlignment="1">
      <alignment vertical="top" wrapText="1"/>
    </xf>
    <xf numFmtId="0" fontId="82" fillId="0" borderId="12" xfId="0" applyFont="1" applyBorder="1" applyAlignment="1">
      <alignment vertical="top" wrapText="1"/>
    </xf>
    <xf numFmtId="0" fontId="82" fillId="0" borderId="14" xfId="0" applyFont="1" applyBorder="1" applyAlignment="1">
      <alignment vertical="top" wrapText="1"/>
    </xf>
    <xf numFmtId="179" fontId="82" fillId="0" borderId="11" xfId="42" applyNumberFormat="1" applyFont="1" applyBorder="1" applyAlignment="1">
      <alignment horizontal="center" vertical="top" wrapText="1"/>
    </xf>
    <xf numFmtId="179" fontId="82" fillId="0" borderId="15" xfId="42" applyNumberFormat="1" applyFont="1" applyBorder="1" applyAlignment="1">
      <alignment horizontal="center" vertical="top" wrapText="1"/>
    </xf>
    <xf numFmtId="179" fontId="82" fillId="0" borderId="10" xfId="42" applyNumberFormat="1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wrapText="1"/>
    </xf>
    <xf numFmtId="179" fontId="82" fillId="0" borderId="11" xfId="42" applyNumberFormat="1" applyFont="1" applyBorder="1" applyAlignment="1">
      <alignment wrapText="1"/>
    </xf>
    <xf numFmtId="179" fontId="82" fillId="0" borderId="15" xfId="42" applyNumberFormat="1" applyFont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7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te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D67"/>
  <sheetViews>
    <sheetView view="pageBreakPreview" zoomScale="150" zoomScaleNormal="90" zoomScaleSheetLayoutView="150" workbookViewId="0" topLeftCell="A1">
      <pane ySplit="2" topLeftCell="A21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66.8515625" style="0" customWidth="1"/>
    <col min="2" max="2" width="16.57421875" style="0" customWidth="1"/>
    <col min="3" max="3" width="16.57421875" style="504" customWidth="1"/>
    <col min="4" max="4" width="13.28125" style="0" customWidth="1"/>
  </cols>
  <sheetData>
    <row r="1" ht="18.75">
      <c r="A1" s="735" t="s">
        <v>672</v>
      </c>
    </row>
    <row r="2" spans="1:3" s="21" customFormat="1" ht="58.5" customHeight="1">
      <c r="A2" s="20" t="s">
        <v>673</v>
      </c>
      <c r="B2" s="175" t="s">
        <v>1066</v>
      </c>
      <c r="C2" s="175" t="s">
        <v>1068</v>
      </c>
    </row>
    <row r="3" spans="1:4" s="146" customFormat="1" ht="15.75">
      <c r="A3" s="88" t="s">
        <v>217</v>
      </c>
      <c r="B3" s="412">
        <v>7785900000</v>
      </c>
      <c r="C3" s="412">
        <v>7817550000</v>
      </c>
      <c r="D3" s="176"/>
    </row>
    <row r="4" spans="1:3" s="146" customFormat="1" ht="15.75">
      <c r="A4" s="88" t="s">
        <v>218</v>
      </c>
      <c r="B4" s="412">
        <v>417572254</v>
      </c>
      <c r="C4" s="412">
        <v>417572254</v>
      </c>
    </row>
    <row r="5" spans="1:3" s="146" customFormat="1" ht="15.75">
      <c r="A5" s="88" t="s">
        <v>219</v>
      </c>
      <c r="B5" s="412">
        <v>221007938</v>
      </c>
      <c r="C5" s="412">
        <v>233001661</v>
      </c>
    </row>
    <row r="6" spans="1:3" s="146" customFormat="1" ht="15.75">
      <c r="A6" s="88" t="s">
        <v>220</v>
      </c>
      <c r="B6" s="412">
        <v>131914894</v>
      </c>
      <c r="C6" s="412">
        <v>132021277</v>
      </c>
    </row>
    <row r="7" spans="1:3" s="146" customFormat="1" ht="15.75">
      <c r="A7" s="88" t="s">
        <v>221</v>
      </c>
      <c r="B7" s="412">
        <v>26138997</v>
      </c>
      <c r="C7" s="412">
        <v>26138997</v>
      </c>
    </row>
    <row r="8" spans="1:3" s="146" customFormat="1" ht="15.75">
      <c r="A8" s="88" t="s">
        <v>381</v>
      </c>
      <c r="B8" s="412">
        <v>30000000</v>
      </c>
      <c r="C8" s="412">
        <v>45000000</v>
      </c>
    </row>
    <row r="9" spans="1:3" s="146" customFormat="1" ht="15.75">
      <c r="A9" s="88" t="s">
        <v>382</v>
      </c>
      <c r="B9" s="412">
        <v>234727114</v>
      </c>
      <c r="C9" s="412">
        <v>234727114</v>
      </c>
    </row>
    <row r="10" spans="1:3" s="146" customFormat="1" ht="15.75">
      <c r="A10" s="88" t="s">
        <v>222</v>
      </c>
      <c r="B10" s="412">
        <v>74553298</v>
      </c>
      <c r="C10" s="412">
        <v>70549894</v>
      </c>
    </row>
    <row r="11" spans="1:3" s="146" customFormat="1" ht="15.75">
      <c r="A11" s="88" t="s">
        <v>223</v>
      </c>
      <c r="B11" s="412">
        <v>350000000</v>
      </c>
      <c r="C11" s="412">
        <v>198615016</v>
      </c>
    </row>
    <row r="12" spans="1:3" s="146" customFormat="1" ht="15.75">
      <c r="A12" s="88" t="s">
        <v>386</v>
      </c>
      <c r="B12" s="412">
        <v>18527653</v>
      </c>
      <c r="C12" s="412">
        <v>14185102</v>
      </c>
    </row>
    <row r="13" spans="1:3" s="146" customFormat="1" ht="15.75">
      <c r="A13" s="88" t="s">
        <v>1121</v>
      </c>
      <c r="B13" s="412">
        <v>44696901</v>
      </c>
      <c r="C13" s="412">
        <v>68638638</v>
      </c>
    </row>
    <row r="14" spans="1:3" s="146" customFormat="1" ht="15.75">
      <c r="A14" s="89" t="s">
        <v>470</v>
      </c>
      <c r="B14" s="412">
        <v>22968750</v>
      </c>
      <c r="C14" s="412">
        <v>22140000</v>
      </c>
    </row>
    <row r="15" spans="1:3" s="146" customFormat="1" ht="15.75">
      <c r="A15" s="89" t="s">
        <v>387</v>
      </c>
      <c r="B15" s="412">
        <v>45697438</v>
      </c>
      <c r="C15" s="412">
        <v>16140145</v>
      </c>
    </row>
    <row r="16" spans="1:3" s="146" customFormat="1" ht="15.75">
      <c r="A16" s="90" t="s">
        <v>224</v>
      </c>
      <c r="B16" s="412">
        <v>164053800</v>
      </c>
      <c r="C16" s="412">
        <v>164053800</v>
      </c>
    </row>
    <row r="17" spans="1:3" s="146" customFormat="1" ht="15.75">
      <c r="A17" s="90" t="s">
        <v>377</v>
      </c>
      <c r="B17" s="412">
        <v>8800000</v>
      </c>
      <c r="C17" s="412"/>
    </row>
    <row r="18" spans="1:3" s="146" customFormat="1" ht="15.75">
      <c r="A18" s="90" t="s">
        <v>883</v>
      </c>
      <c r="B18" s="412">
        <v>12500000</v>
      </c>
      <c r="C18" s="412"/>
    </row>
    <row r="19" spans="1:4" s="146" customFormat="1" ht="15.75">
      <c r="A19" s="89" t="s">
        <v>879</v>
      </c>
      <c r="B19" s="412">
        <v>2309631924</v>
      </c>
      <c r="C19" s="412">
        <v>1574309376</v>
      </c>
      <c r="D19" s="176"/>
    </row>
    <row r="20" spans="1:3" s="146" customFormat="1" ht="15.75">
      <c r="A20" s="91" t="s">
        <v>225</v>
      </c>
      <c r="B20" s="412">
        <v>870000000</v>
      </c>
      <c r="C20" s="412">
        <v>650000000</v>
      </c>
    </row>
    <row r="21" spans="1:4" s="146" customFormat="1" ht="15.75">
      <c r="A21" s="16" t="s">
        <v>226</v>
      </c>
      <c r="B21" s="94">
        <f>SUM(B3:B20)</f>
        <v>12768690961</v>
      </c>
      <c r="C21" s="94">
        <f>SUM(C3:C20)</f>
        <v>11684643274</v>
      </c>
      <c r="D21" s="176"/>
    </row>
    <row r="22" spans="1:3" ht="15.75">
      <c r="A22" s="188" t="s">
        <v>227</v>
      </c>
      <c r="B22" s="411"/>
      <c r="C22" s="411"/>
    </row>
    <row r="23" spans="1:3" ht="15.75">
      <c r="A23" s="17" t="s">
        <v>228</v>
      </c>
      <c r="B23" s="411"/>
      <c r="C23" s="411"/>
    </row>
    <row r="24" spans="1:3" ht="15.75">
      <c r="A24" s="18" t="s">
        <v>229</v>
      </c>
      <c r="B24" s="413">
        <v>15000000</v>
      </c>
      <c r="C24" s="413"/>
    </row>
    <row r="25" spans="1:3" ht="15.75">
      <c r="A25" s="18" t="s">
        <v>230</v>
      </c>
      <c r="B25" s="413">
        <v>10000000</v>
      </c>
      <c r="C25" s="413"/>
    </row>
    <row r="26" spans="1:3" ht="15.75">
      <c r="A26" s="18" t="s">
        <v>231</v>
      </c>
      <c r="B26" s="413">
        <v>0</v>
      </c>
      <c r="C26" s="413"/>
    </row>
    <row r="27" spans="1:3" ht="15.75">
      <c r="A27" s="18" t="s">
        <v>232</v>
      </c>
      <c r="B27" s="413">
        <v>360000000</v>
      </c>
      <c r="C27" s="413"/>
    </row>
    <row r="28" spans="1:3" ht="15.75">
      <c r="A28" s="18" t="s">
        <v>233</v>
      </c>
      <c r="B28" s="413">
        <v>0</v>
      </c>
      <c r="C28" s="413"/>
    </row>
    <row r="29" spans="1:3" ht="15.75">
      <c r="A29" s="18" t="s">
        <v>234</v>
      </c>
      <c r="B29" s="413">
        <v>0</v>
      </c>
      <c r="C29" s="413"/>
    </row>
    <row r="30" spans="1:3" ht="15.75">
      <c r="A30" s="18" t="s">
        <v>235</v>
      </c>
      <c r="B30" s="413">
        <v>0</v>
      </c>
      <c r="C30" s="413"/>
    </row>
    <row r="31" spans="1:3" ht="15.75">
      <c r="A31" s="18" t="s">
        <v>236</v>
      </c>
      <c r="B31" s="413">
        <v>0</v>
      </c>
      <c r="C31" s="413"/>
    </row>
    <row r="32" spans="1:3" ht="15.75">
      <c r="A32" s="18" t="s">
        <v>237</v>
      </c>
      <c r="B32" s="413">
        <v>0</v>
      </c>
      <c r="C32" s="413"/>
    </row>
    <row r="33" spans="1:3" ht="15.75">
      <c r="A33" s="18" t="s">
        <v>238</v>
      </c>
      <c r="B33" s="413">
        <v>1000000</v>
      </c>
      <c r="C33" s="413"/>
    </row>
    <row r="34" spans="1:3" ht="15.75">
      <c r="A34" s="18" t="s">
        <v>239</v>
      </c>
      <c r="B34" s="413">
        <v>3000000</v>
      </c>
      <c r="C34" s="413"/>
    </row>
    <row r="35" spans="1:3" ht="15.75">
      <c r="A35" s="18" t="s">
        <v>240</v>
      </c>
      <c r="B35" s="413">
        <v>0</v>
      </c>
      <c r="C35" s="413"/>
    </row>
    <row r="36" spans="1:3" ht="15.75">
      <c r="A36" s="18" t="s">
        <v>241</v>
      </c>
      <c r="B36" s="413">
        <v>0</v>
      </c>
      <c r="C36" s="413"/>
    </row>
    <row r="37" spans="1:3" ht="15.75">
      <c r="A37" s="18" t="s">
        <v>242</v>
      </c>
      <c r="B37" s="413">
        <v>15000000</v>
      </c>
      <c r="C37" s="413"/>
    </row>
    <row r="38" spans="1:3" ht="15.75">
      <c r="A38" s="18" t="s">
        <v>243</v>
      </c>
      <c r="B38" s="413">
        <v>20000000</v>
      </c>
      <c r="C38" s="413"/>
    </row>
    <row r="39" spans="1:3" ht="15.75">
      <c r="A39" s="18" t="s">
        <v>244</v>
      </c>
      <c r="B39" s="413">
        <v>200000</v>
      </c>
      <c r="C39" s="413"/>
    </row>
    <row r="40" spans="1:3" ht="15.75">
      <c r="A40" s="18" t="s">
        <v>245</v>
      </c>
      <c r="B40" s="413">
        <v>500000</v>
      </c>
      <c r="C40" s="413"/>
    </row>
    <row r="41" spans="1:3" ht="15.75">
      <c r="A41" s="18" t="s">
        <v>246</v>
      </c>
      <c r="B41" s="413">
        <v>125000000</v>
      </c>
      <c r="C41" s="413"/>
    </row>
    <row r="42" spans="1:3" ht="15.75">
      <c r="A42" s="18" t="s">
        <v>247</v>
      </c>
      <c r="B42" s="413">
        <v>5000000</v>
      </c>
      <c r="C42" s="413"/>
    </row>
    <row r="43" spans="1:3" ht="15.75">
      <c r="A43" s="18" t="s">
        <v>248</v>
      </c>
      <c r="B43" s="413">
        <v>5000000</v>
      </c>
      <c r="C43" s="413"/>
    </row>
    <row r="44" spans="1:3" ht="15.75">
      <c r="A44" s="18" t="s">
        <v>249</v>
      </c>
      <c r="B44" s="413">
        <v>0</v>
      </c>
      <c r="C44" s="413"/>
    </row>
    <row r="45" spans="1:3" ht="15.75">
      <c r="A45" s="18" t="s">
        <v>250</v>
      </c>
      <c r="B45" s="413">
        <v>2000000</v>
      </c>
      <c r="C45" s="413"/>
    </row>
    <row r="46" spans="1:3" ht="15.75">
      <c r="A46" s="18" t="s">
        <v>251</v>
      </c>
      <c r="B46" s="413">
        <v>115000000</v>
      </c>
      <c r="C46" s="413"/>
    </row>
    <row r="47" spans="1:3" ht="15.75">
      <c r="A47" s="18" t="s">
        <v>252</v>
      </c>
      <c r="B47" s="413">
        <v>0</v>
      </c>
      <c r="C47" s="413"/>
    </row>
    <row r="48" spans="1:3" ht="15.75">
      <c r="A48" s="19" t="s">
        <v>391</v>
      </c>
      <c r="B48" s="413">
        <v>25000000</v>
      </c>
      <c r="C48" s="413"/>
    </row>
    <row r="49" spans="1:3" ht="15.75">
      <c r="A49" s="18" t="s">
        <v>253</v>
      </c>
      <c r="B49" s="413">
        <v>30000000</v>
      </c>
      <c r="C49" s="413"/>
    </row>
    <row r="50" spans="1:3" ht="15.75">
      <c r="A50" s="18" t="s">
        <v>254</v>
      </c>
      <c r="B50" s="413">
        <v>2000000</v>
      </c>
      <c r="C50" s="413"/>
    </row>
    <row r="51" spans="1:3" ht="15.75">
      <c r="A51" s="18" t="s">
        <v>255</v>
      </c>
      <c r="B51" s="413">
        <v>0</v>
      </c>
      <c r="C51" s="413"/>
    </row>
    <row r="52" spans="1:3" ht="15.75">
      <c r="A52" s="18" t="s">
        <v>256</v>
      </c>
      <c r="B52" s="413">
        <v>0</v>
      </c>
      <c r="C52" s="413"/>
    </row>
    <row r="53" spans="1:3" ht="15.75">
      <c r="A53" s="18" t="s">
        <v>257</v>
      </c>
      <c r="B53" s="413">
        <v>0</v>
      </c>
      <c r="C53" s="413"/>
    </row>
    <row r="54" spans="1:3" ht="15.75">
      <c r="A54" s="18" t="s">
        <v>258</v>
      </c>
      <c r="B54" s="413">
        <v>500000</v>
      </c>
      <c r="C54" s="413"/>
    </row>
    <row r="55" spans="1:3" ht="15.75">
      <c r="A55" s="18" t="s">
        <v>259</v>
      </c>
      <c r="B55" s="413">
        <v>800000</v>
      </c>
      <c r="C55" s="413"/>
    </row>
    <row r="56" spans="1:3" ht="15.75">
      <c r="A56" s="18" t="s">
        <v>260</v>
      </c>
      <c r="B56" s="413">
        <v>0</v>
      </c>
      <c r="C56" s="413"/>
    </row>
    <row r="57" spans="1:3" ht="15.75">
      <c r="A57" s="18" t="s">
        <v>261</v>
      </c>
      <c r="B57" s="413">
        <v>0</v>
      </c>
      <c r="C57" s="413"/>
    </row>
    <row r="58" spans="1:3" ht="15.75">
      <c r="A58" s="18" t="s">
        <v>262</v>
      </c>
      <c r="B58" s="413">
        <v>0</v>
      </c>
      <c r="C58" s="413"/>
    </row>
    <row r="59" spans="1:3" ht="15.75">
      <c r="A59" s="18" t="s">
        <v>263</v>
      </c>
      <c r="B59" s="413">
        <v>0</v>
      </c>
      <c r="C59" s="413"/>
    </row>
    <row r="60" spans="1:3" ht="15.75">
      <c r="A60" s="18" t="s">
        <v>264</v>
      </c>
      <c r="B60" s="413">
        <v>0</v>
      </c>
      <c r="C60" s="413"/>
    </row>
    <row r="61" spans="1:3" ht="15.75">
      <c r="A61" s="18" t="s">
        <v>265</v>
      </c>
      <c r="B61" s="413">
        <v>45000000</v>
      </c>
      <c r="C61" s="413"/>
    </row>
    <row r="62" spans="1:3" ht="15.75">
      <c r="A62" s="18" t="s">
        <v>266</v>
      </c>
      <c r="B62" s="413">
        <v>0</v>
      </c>
      <c r="C62" s="413"/>
    </row>
    <row r="63" spans="1:3" ht="15.75">
      <c r="A63" s="18" t="s">
        <v>267</v>
      </c>
      <c r="B63" s="413">
        <v>45000000</v>
      </c>
      <c r="C63" s="413"/>
    </row>
    <row r="64" spans="1:3" ht="15.75">
      <c r="A64" s="18" t="s">
        <v>268</v>
      </c>
      <c r="B64" s="413">
        <v>20000000</v>
      </c>
      <c r="C64" s="413"/>
    </row>
    <row r="65" spans="1:3" ht="15.75">
      <c r="A65" s="18" t="s">
        <v>269</v>
      </c>
      <c r="B65" s="413">
        <v>22000000</v>
      </c>
      <c r="C65" s="413"/>
    </row>
    <row r="66" spans="1:3" ht="15.75">
      <c r="A66" s="18" t="s">
        <v>270</v>
      </c>
      <c r="B66" s="413">
        <v>3000000</v>
      </c>
      <c r="C66" s="413"/>
    </row>
    <row r="67" spans="1:3" ht="15.75">
      <c r="A67" s="17" t="s">
        <v>197</v>
      </c>
      <c r="B67" s="117">
        <f>SUM(B24:B66)</f>
        <v>870000000</v>
      </c>
      <c r="C67" s="117">
        <v>650000000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0" r:id="rId1"/>
  <headerFooter differentFirst="1">
    <oddHeader>&amp;C1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03"/>
  <sheetViews>
    <sheetView view="pageBreakPreview" zoomScale="120" zoomScaleSheetLayoutView="120" workbookViewId="0" topLeftCell="A1">
      <pane ySplit="2" topLeftCell="A3" activePane="bottomLeft" state="frozen"/>
      <selection pane="topLeft" activeCell="A1" sqref="A1"/>
      <selection pane="bottomLeft" activeCell="A99" sqref="A99"/>
    </sheetView>
  </sheetViews>
  <sheetFormatPr defaultColWidth="9.140625" defaultRowHeight="15"/>
  <cols>
    <col min="1" max="1" width="11.140625" style="1" customWidth="1"/>
    <col min="2" max="2" width="74.28125" style="1" customWidth="1"/>
    <col min="3" max="4" width="18.00390625" style="9" customWidth="1"/>
    <col min="5" max="5" width="12.00390625" style="0" bestFit="1" customWidth="1"/>
  </cols>
  <sheetData>
    <row r="1" spans="1:2" ht="39.75" customHeight="1">
      <c r="A1" s="919" t="s">
        <v>677</v>
      </c>
      <c r="B1" s="920"/>
    </row>
    <row r="2" spans="1:4" ht="75">
      <c r="A2" s="917" t="s">
        <v>168</v>
      </c>
      <c r="B2" s="918"/>
      <c r="C2" s="534" t="s">
        <v>1066</v>
      </c>
      <c r="D2" s="534" t="s">
        <v>1068</v>
      </c>
    </row>
    <row r="3" spans="1:4" s="98" customFormat="1" ht="15.75">
      <c r="A3" s="200">
        <v>10201</v>
      </c>
      <c r="B3" s="200" t="s">
        <v>680</v>
      </c>
      <c r="C3" s="105"/>
      <c r="D3" s="105"/>
    </row>
    <row r="4" spans="1:4" s="98" customFormat="1" ht="15.75">
      <c r="A4" s="200">
        <v>2100000</v>
      </c>
      <c r="B4" s="200" t="s">
        <v>678</v>
      </c>
      <c r="C4" s="105"/>
      <c r="D4" s="105"/>
    </row>
    <row r="5" spans="1:4" ht="15.75">
      <c r="A5" s="3"/>
      <c r="B5" s="101" t="s">
        <v>2</v>
      </c>
      <c r="C5" s="105"/>
      <c r="D5" s="105"/>
    </row>
    <row r="6" spans="1:4" ht="15.75">
      <c r="A6" s="4" t="s">
        <v>0</v>
      </c>
      <c r="B6" s="5" t="s">
        <v>1</v>
      </c>
      <c r="C6" s="105">
        <v>140338768</v>
      </c>
      <c r="D6" s="105">
        <v>145952318</v>
      </c>
    </row>
    <row r="7" spans="1:4" ht="15.75">
      <c r="A7" s="6" t="s">
        <v>170</v>
      </c>
      <c r="B7" s="6"/>
      <c r="C7" s="7">
        <f>SUM(C6)</f>
        <v>140338768</v>
      </c>
      <c r="D7" s="7">
        <f>SUM(D6)</f>
        <v>145952318</v>
      </c>
    </row>
    <row r="8" spans="1:4" ht="15.75">
      <c r="A8" s="4"/>
      <c r="B8" s="101" t="s">
        <v>5</v>
      </c>
      <c r="C8" s="105"/>
      <c r="D8" s="105"/>
    </row>
    <row r="9" spans="1:4" ht="15.75">
      <c r="A9" s="4" t="s">
        <v>3</v>
      </c>
      <c r="B9" s="4" t="s">
        <v>4</v>
      </c>
      <c r="C9" s="105">
        <v>32872580</v>
      </c>
      <c r="D9" s="105">
        <v>34187483</v>
      </c>
    </row>
    <row r="10" spans="1:4" ht="15.75">
      <c r="A10" s="4" t="s">
        <v>8</v>
      </c>
      <c r="B10" s="4" t="s">
        <v>9</v>
      </c>
      <c r="C10" s="105">
        <v>9493407</v>
      </c>
      <c r="D10" s="105">
        <v>9493407</v>
      </c>
    </row>
    <row r="11" spans="1:4" ht="15.75">
      <c r="A11" s="4" t="s">
        <v>10</v>
      </c>
      <c r="B11" s="4" t="s">
        <v>11</v>
      </c>
      <c r="C11" s="105">
        <v>16585884</v>
      </c>
      <c r="D11" s="105">
        <v>17249319</v>
      </c>
    </row>
    <row r="12" spans="1:4" ht="15.75">
      <c r="A12" s="4" t="s">
        <v>12</v>
      </c>
      <c r="B12" s="4" t="s">
        <v>13</v>
      </c>
      <c r="C12" s="105">
        <v>12873276</v>
      </c>
      <c r="D12" s="105">
        <v>12873275</v>
      </c>
    </row>
    <row r="13" spans="1:4" ht="15.75">
      <c r="A13" s="4" t="s">
        <v>16</v>
      </c>
      <c r="B13" s="4" t="s">
        <v>17</v>
      </c>
      <c r="C13" s="105">
        <v>1408113</v>
      </c>
      <c r="D13" s="105">
        <v>1408113</v>
      </c>
    </row>
    <row r="14" spans="1:4" ht="15.75">
      <c r="A14" s="12">
        <v>2110502</v>
      </c>
      <c r="B14" s="4" t="s">
        <v>198</v>
      </c>
      <c r="C14" s="105">
        <v>7412617.000000001</v>
      </c>
      <c r="D14" s="105">
        <v>7412616</v>
      </c>
    </row>
    <row r="15" spans="1:4" s="68" customFormat="1" ht="15.75">
      <c r="A15" s="4" t="s">
        <v>18</v>
      </c>
      <c r="B15" s="4" t="s">
        <v>210</v>
      </c>
      <c r="C15" s="105">
        <v>32122641</v>
      </c>
      <c r="D15" s="105">
        <v>32122641</v>
      </c>
    </row>
    <row r="16" spans="1:4" s="2" customFormat="1" ht="15.75">
      <c r="A16" s="6" t="s">
        <v>170</v>
      </c>
      <c r="B16" s="6"/>
      <c r="C16" s="7">
        <f>SUM(C9:C15)</f>
        <v>112768518</v>
      </c>
      <c r="D16" s="7">
        <f>SUM(D9:D15)</f>
        <v>114746854</v>
      </c>
    </row>
    <row r="17" spans="1:4" s="2" customFormat="1" ht="15.75">
      <c r="A17" s="6" t="s">
        <v>173</v>
      </c>
      <c r="B17" s="6"/>
      <c r="C17" s="7">
        <f>SUM(C16,C7)</f>
        <v>253107286</v>
      </c>
      <c r="D17" s="7">
        <f>SUM(D16,D7)</f>
        <v>260699172</v>
      </c>
    </row>
    <row r="18" spans="1:4" s="2" customFormat="1" ht="15.75">
      <c r="A18" s="202">
        <v>2200000</v>
      </c>
      <c r="B18" s="64" t="s">
        <v>679</v>
      </c>
      <c r="C18" s="420"/>
      <c r="D18" s="420"/>
    </row>
    <row r="19" spans="1:4" ht="15.75">
      <c r="A19" s="4"/>
      <c r="B19" s="101" t="s">
        <v>21</v>
      </c>
      <c r="C19" s="105"/>
      <c r="D19" s="105"/>
    </row>
    <row r="20" spans="1:4" ht="15.75">
      <c r="A20" s="4" t="s">
        <v>19</v>
      </c>
      <c r="B20" s="4" t="s">
        <v>20</v>
      </c>
      <c r="C20" s="105">
        <v>200000</v>
      </c>
      <c r="D20" s="105">
        <v>500000</v>
      </c>
    </row>
    <row r="21" spans="1:4" ht="15.75">
      <c r="A21" s="4" t="s">
        <v>22</v>
      </c>
      <c r="B21" s="4" t="s">
        <v>23</v>
      </c>
      <c r="C21" s="105">
        <v>100000</v>
      </c>
      <c r="D21" s="105">
        <v>250000</v>
      </c>
    </row>
    <row r="22" spans="1:4" ht="15.75">
      <c r="A22" s="6" t="s">
        <v>170</v>
      </c>
      <c r="B22" s="6"/>
      <c r="C22" s="7">
        <f>SUM(C20:C21)</f>
        <v>300000</v>
      </c>
      <c r="D22" s="7">
        <f>SUM(D20:D21)</f>
        <v>750000</v>
      </c>
    </row>
    <row r="23" spans="1:4" ht="15.75">
      <c r="A23" s="4"/>
      <c r="B23" s="101" t="s">
        <v>28</v>
      </c>
      <c r="C23" s="105"/>
      <c r="D23" s="105"/>
    </row>
    <row r="24" spans="1:4" ht="15.75">
      <c r="A24" s="4" t="s">
        <v>26</v>
      </c>
      <c r="B24" s="4" t="s">
        <v>27</v>
      </c>
      <c r="C24" s="105">
        <v>300000</v>
      </c>
      <c r="D24" s="837">
        <v>200000</v>
      </c>
    </row>
    <row r="25" spans="1:4" ht="15.75">
      <c r="A25" s="4" t="s">
        <v>29</v>
      </c>
      <c r="B25" s="4" t="s">
        <v>30</v>
      </c>
      <c r="C25" s="105">
        <v>150000</v>
      </c>
      <c r="D25" s="838">
        <v>200000</v>
      </c>
    </row>
    <row r="26" spans="1:4" ht="15.75">
      <c r="A26" s="4" t="s">
        <v>31</v>
      </c>
      <c r="B26" s="4" t="s">
        <v>32</v>
      </c>
      <c r="C26" s="105">
        <v>100000</v>
      </c>
      <c r="D26" s="837">
        <v>200000</v>
      </c>
    </row>
    <row r="27" spans="1:4" ht="15.75">
      <c r="A27" s="6" t="s">
        <v>170</v>
      </c>
      <c r="B27" s="6"/>
      <c r="C27" s="7">
        <f>SUM(C24:C26)</f>
        <v>550000</v>
      </c>
      <c r="D27" s="7">
        <f>SUM(D24:D26)</f>
        <v>600000</v>
      </c>
    </row>
    <row r="28" spans="1:4" ht="15.75">
      <c r="A28" s="4"/>
      <c r="B28" s="101" t="s">
        <v>35</v>
      </c>
      <c r="C28" s="105"/>
      <c r="D28" s="105"/>
    </row>
    <row r="29" spans="1:4" ht="15.75">
      <c r="A29" s="4" t="s">
        <v>33</v>
      </c>
      <c r="B29" s="4" t="s">
        <v>34</v>
      </c>
      <c r="C29" s="105">
        <v>5500000</v>
      </c>
      <c r="D29" s="838">
        <v>3000000</v>
      </c>
    </row>
    <row r="30" spans="1:4" ht="15.75">
      <c r="A30" s="4" t="s">
        <v>36</v>
      </c>
      <c r="B30" s="4" t="s">
        <v>37</v>
      </c>
      <c r="C30" s="105">
        <v>14000000</v>
      </c>
      <c r="D30" s="838">
        <v>14500000</v>
      </c>
    </row>
    <row r="31" spans="1:4" ht="15.75">
      <c r="A31" s="4" t="s">
        <v>38</v>
      </c>
      <c r="B31" s="4" t="s">
        <v>39</v>
      </c>
      <c r="C31" s="105">
        <v>14000000</v>
      </c>
      <c r="D31" s="838">
        <v>14000000</v>
      </c>
    </row>
    <row r="32" spans="1:4" ht="15.75">
      <c r="A32" s="4" t="s">
        <v>40</v>
      </c>
      <c r="B32" s="4" t="s">
        <v>41</v>
      </c>
      <c r="C32" s="105">
        <v>500000</v>
      </c>
      <c r="D32" s="837">
        <v>700000</v>
      </c>
    </row>
    <row r="33" spans="1:4" ht="15.75">
      <c r="A33" s="6" t="s">
        <v>170</v>
      </c>
      <c r="B33" s="6"/>
      <c r="C33" s="7">
        <f>SUM(C29:C32)</f>
        <v>34000000</v>
      </c>
      <c r="D33" s="7">
        <f>SUM(D29:D32)</f>
        <v>32200000</v>
      </c>
    </row>
    <row r="34" spans="1:4" ht="15.75">
      <c r="A34" s="4"/>
      <c r="B34" s="101" t="s">
        <v>44</v>
      </c>
      <c r="C34" s="105"/>
      <c r="D34" s="105"/>
    </row>
    <row r="35" spans="1:4" ht="15.75">
      <c r="A35" s="4" t="s">
        <v>42</v>
      </c>
      <c r="B35" s="4" t="s">
        <v>43</v>
      </c>
      <c r="C35" s="105">
        <v>15000000</v>
      </c>
      <c r="D35" s="838">
        <v>2000000</v>
      </c>
    </row>
    <row r="36" spans="1:4" ht="15.75">
      <c r="A36" s="4" t="s">
        <v>45</v>
      </c>
      <c r="B36" s="4" t="s">
        <v>46</v>
      </c>
      <c r="C36" s="105">
        <v>13000000</v>
      </c>
      <c r="D36" s="838">
        <v>2000000</v>
      </c>
    </row>
    <row r="37" spans="1:4" ht="15.75">
      <c r="A37" s="4" t="s">
        <v>47</v>
      </c>
      <c r="B37" s="4" t="s">
        <v>39</v>
      </c>
      <c r="C37" s="105">
        <v>13000000</v>
      </c>
      <c r="D37" s="838">
        <v>3000000</v>
      </c>
    </row>
    <row r="38" spans="1:4" ht="15.75">
      <c r="A38" s="4" t="s">
        <v>48</v>
      </c>
      <c r="B38" s="4" t="s">
        <v>49</v>
      </c>
      <c r="C38" s="105">
        <v>1000000</v>
      </c>
      <c r="D38" s="837">
        <v>1000000</v>
      </c>
    </row>
    <row r="39" spans="1:4" ht="15.75">
      <c r="A39" s="6" t="s">
        <v>170</v>
      </c>
      <c r="B39" s="6"/>
      <c r="C39" s="7">
        <f>SUM(C35:C38)</f>
        <v>42000000</v>
      </c>
      <c r="D39" s="7">
        <f>SUM(D35:D38)</f>
        <v>8000000</v>
      </c>
    </row>
    <row r="40" spans="1:4" ht="15.75">
      <c r="A40" s="4"/>
      <c r="B40" s="101" t="s">
        <v>50</v>
      </c>
      <c r="C40" s="105"/>
      <c r="D40" s="105"/>
    </row>
    <row r="41" spans="1:4" ht="15.75">
      <c r="A41" s="4" t="s">
        <v>51</v>
      </c>
      <c r="B41" s="4" t="s">
        <v>52</v>
      </c>
      <c r="C41" s="105">
        <v>1000000</v>
      </c>
      <c r="D41" s="839">
        <v>600000</v>
      </c>
    </row>
    <row r="42" spans="1:4" ht="15.75">
      <c r="A42" s="4" t="s">
        <v>53</v>
      </c>
      <c r="B42" s="4" t="s">
        <v>54</v>
      </c>
      <c r="C42" s="105">
        <v>200000</v>
      </c>
      <c r="D42" s="837">
        <v>300000</v>
      </c>
    </row>
    <row r="43" spans="1:4" ht="15.75">
      <c r="A43" s="4" t="s">
        <v>55</v>
      </c>
      <c r="B43" s="4" t="s">
        <v>56</v>
      </c>
      <c r="C43" s="105">
        <v>7000000</v>
      </c>
      <c r="D43" s="839">
        <v>2000000</v>
      </c>
    </row>
    <row r="44" spans="1:4" ht="15.75">
      <c r="A44" s="6" t="s">
        <v>170</v>
      </c>
      <c r="B44" s="6"/>
      <c r="C44" s="7">
        <f>SUM(C41:C43)</f>
        <v>8200000</v>
      </c>
      <c r="D44" s="7">
        <f>SUM(D41:D43)</f>
        <v>2900000</v>
      </c>
    </row>
    <row r="45" spans="1:4" ht="15.75">
      <c r="A45" s="4"/>
      <c r="B45" s="101" t="s">
        <v>59</v>
      </c>
      <c r="C45" s="105"/>
      <c r="D45" s="105"/>
    </row>
    <row r="46" spans="1:4" ht="15.75">
      <c r="A46" s="4" t="s">
        <v>60</v>
      </c>
      <c r="B46" s="4" t="s">
        <v>61</v>
      </c>
      <c r="C46" s="105">
        <v>5000000</v>
      </c>
      <c r="D46" s="837">
        <v>3000000</v>
      </c>
    </row>
    <row r="47" spans="1:4" s="504" customFormat="1" ht="15.75">
      <c r="A47" s="505" t="s">
        <v>62</v>
      </c>
      <c r="B47" s="505" t="s">
        <v>1029</v>
      </c>
      <c r="C47" s="105">
        <v>5000000</v>
      </c>
      <c r="D47" s="839">
        <v>500000</v>
      </c>
    </row>
    <row r="48" spans="1:4" ht="15.75">
      <c r="A48" s="6" t="s">
        <v>170</v>
      </c>
      <c r="B48" s="6"/>
      <c r="C48" s="7">
        <f>SUM(C46:C47)</f>
        <v>10000000</v>
      </c>
      <c r="D48" s="7">
        <f>SUM(D46:D47)</f>
        <v>3500000</v>
      </c>
    </row>
    <row r="49" spans="1:4" ht="15.75">
      <c r="A49" s="4"/>
      <c r="B49" s="101" t="s">
        <v>68</v>
      </c>
      <c r="C49" s="105"/>
      <c r="D49" s="105"/>
    </row>
    <row r="50" spans="1:4" ht="15.75">
      <c r="A50" s="4" t="s">
        <v>66</v>
      </c>
      <c r="B50" s="4" t="s">
        <v>67</v>
      </c>
      <c r="C50" s="105">
        <v>100000</v>
      </c>
      <c r="D50" s="837">
        <v>300000</v>
      </c>
    </row>
    <row r="51" spans="1:4" ht="15.75">
      <c r="A51" s="4" t="s">
        <v>71</v>
      </c>
      <c r="B51" s="4" t="s">
        <v>72</v>
      </c>
      <c r="C51" s="105">
        <v>1096800</v>
      </c>
      <c r="D51" s="839">
        <v>700000</v>
      </c>
    </row>
    <row r="52" spans="1:4" ht="15.75">
      <c r="A52" s="4" t="s">
        <v>75</v>
      </c>
      <c r="B52" s="4" t="s">
        <v>76</v>
      </c>
      <c r="C52" s="105">
        <v>1000000</v>
      </c>
      <c r="D52" s="837">
        <v>500000</v>
      </c>
    </row>
    <row r="53" spans="1:4" ht="15.75">
      <c r="A53" s="4" t="s">
        <v>77</v>
      </c>
      <c r="B53" s="4" t="s">
        <v>78</v>
      </c>
      <c r="C53" s="105">
        <v>500000</v>
      </c>
      <c r="D53" s="839">
        <v>500000</v>
      </c>
    </row>
    <row r="54" spans="1:4" s="504" customFormat="1" ht="15.75">
      <c r="A54" s="505"/>
      <c r="B54" s="505" t="s">
        <v>81</v>
      </c>
      <c r="C54" s="105"/>
      <c r="D54" s="837">
        <v>500000</v>
      </c>
    </row>
    <row r="55" spans="1:4" ht="15.75">
      <c r="A55" s="6" t="s">
        <v>170</v>
      </c>
      <c r="B55" s="6"/>
      <c r="C55" s="7">
        <f>SUM(C50:C54)</f>
        <v>2696800</v>
      </c>
      <c r="D55" s="7">
        <f>SUM(D50:D54)</f>
        <v>2500000</v>
      </c>
    </row>
    <row r="56" spans="1:4" ht="15.75">
      <c r="A56" s="4"/>
      <c r="B56" s="101" t="s">
        <v>84</v>
      </c>
      <c r="C56" s="105"/>
      <c r="D56" s="105"/>
    </row>
    <row r="57" spans="1:4" ht="15.75">
      <c r="A57" s="4" t="s">
        <v>82</v>
      </c>
      <c r="B57" s="4" t="s">
        <v>83</v>
      </c>
      <c r="C57" s="105">
        <v>5000000</v>
      </c>
      <c r="D57" s="839">
        <v>2000000</v>
      </c>
    </row>
    <row r="58" spans="1:4" ht="15.75">
      <c r="A58" s="4" t="s">
        <v>85</v>
      </c>
      <c r="B58" s="4" t="s">
        <v>86</v>
      </c>
      <c r="C58" s="105">
        <v>4390000</v>
      </c>
      <c r="D58" s="837">
        <v>2000000</v>
      </c>
    </row>
    <row r="59" spans="1:4" ht="15.75">
      <c r="A59" s="4" t="s">
        <v>87</v>
      </c>
      <c r="B59" s="4" t="s">
        <v>88</v>
      </c>
      <c r="C59" s="105">
        <v>2500000</v>
      </c>
      <c r="D59" s="839">
        <v>5000000</v>
      </c>
    </row>
    <row r="60" spans="1:4" ht="15.75">
      <c r="A60" s="4" t="s">
        <v>89</v>
      </c>
      <c r="B60" s="4" t="s">
        <v>169</v>
      </c>
      <c r="C60" s="105">
        <v>1500000</v>
      </c>
      <c r="D60" s="837">
        <v>1500000</v>
      </c>
    </row>
    <row r="61" spans="1:4" ht="15.75">
      <c r="A61" s="6" t="s">
        <v>170</v>
      </c>
      <c r="B61" s="6"/>
      <c r="C61" s="7">
        <f>SUM(C57:C60)</f>
        <v>13390000</v>
      </c>
      <c r="D61" s="7">
        <f>SUM(D57:D60)</f>
        <v>10500000</v>
      </c>
    </row>
    <row r="62" spans="1:4" ht="15.75">
      <c r="A62" s="4"/>
      <c r="B62" s="101" t="s">
        <v>124</v>
      </c>
      <c r="C62" s="105"/>
      <c r="D62" s="105"/>
    </row>
    <row r="63" spans="1:4" ht="15.75">
      <c r="A63" s="4" t="s">
        <v>122</v>
      </c>
      <c r="B63" s="4" t="s">
        <v>123</v>
      </c>
      <c r="C63" s="105">
        <v>2000000</v>
      </c>
      <c r="D63" s="839">
        <v>1500000</v>
      </c>
    </row>
    <row r="64" spans="1:4" ht="15.75">
      <c r="A64" s="4" t="s">
        <v>125</v>
      </c>
      <c r="B64" s="4" t="s">
        <v>126</v>
      </c>
      <c r="C64" s="105">
        <v>500000</v>
      </c>
      <c r="D64" s="837">
        <v>500000</v>
      </c>
    </row>
    <row r="65" spans="1:4" ht="15.75">
      <c r="A65" s="4" t="s">
        <v>127</v>
      </c>
      <c r="B65" s="4" t="s">
        <v>128</v>
      </c>
      <c r="C65" s="105">
        <v>1200000</v>
      </c>
      <c r="D65" s="839">
        <v>700000</v>
      </c>
    </row>
    <row r="66" spans="1:4" ht="15.75">
      <c r="A66" s="6" t="s">
        <v>170</v>
      </c>
      <c r="B66" s="6"/>
      <c r="C66" s="7">
        <f>SUM(C63:C65)</f>
        <v>3700000</v>
      </c>
      <c r="D66" s="7">
        <f>SUM(D63:D65)</f>
        <v>2700000</v>
      </c>
    </row>
    <row r="67" spans="1:4" ht="15.75">
      <c r="A67" s="4"/>
      <c r="B67" s="101" t="s">
        <v>131</v>
      </c>
      <c r="C67" s="105"/>
      <c r="D67" s="105"/>
    </row>
    <row r="68" spans="1:4" ht="15.75">
      <c r="A68" s="4" t="s">
        <v>129</v>
      </c>
      <c r="B68" s="4" t="s">
        <v>130</v>
      </c>
      <c r="C68" s="105">
        <v>3000000</v>
      </c>
      <c r="D68" s="837">
        <v>3000000</v>
      </c>
    </row>
    <row r="69" spans="1:4" ht="15.75">
      <c r="A69" s="4" t="s">
        <v>132</v>
      </c>
      <c r="B69" s="4" t="s">
        <v>133</v>
      </c>
      <c r="C69" s="105">
        <v>200000</v>
      </c>
      <c r="D69" s="839">
        <v>200000</v>
      </c>
    </row>
    <row r="70" spans="1:4" ht="15.75">
      <c r="A70" s="6" t="s">
        <v>170</v>
      </c>
      <c r="B70" s="6"/>
      <c r="C70" s="7">
        <f>SUM(C68:C69)</f>
        <v>3200000</v>
      </c>
      <c r="D70" s="7">
        <f>SUM(D68:D69)</f>
        <v>3200000</v>
      </c>
    </row>
    <row r="71" spans="1:4" s="2" customFormat="1" ht="15.75">
      <c r="A71" s="122"/>
      <c r="B71" s="101" t="s">
        <v>136</v>
      </c>
      <c r="C71" s="420"/>
      <c r="D71" s="420"/>
    </row>
    <row r="72" spans="1:4" s="2" customFormat="1" ht="15.75">
      <c r="A72" s="122" t="s">
        <v>139</v>
      </c>
      <c r="B72" s="122" t="s">
        <v>140</v>
      </c>
      <c r="C72" s="420">
        <v>15000000</v>
      </c>
      <c r="D72" s="837">
        <v>15000000</v>
      </c>
    </row>
    <row r="73" spans="1:4" s="2" customFormat="1" ht="15.75">
      <c r="A73" s="157">
        <v>3111009</v>
      </c>
      <c r="B73" s="122" t="s">
        <v>199</v>
      </c>
      <c r="C73" s="420">
        <v>200000</v>
      </c>
      <c r="D73" s="839">
        <v>1000000</v>
      </c>
    </row>
    <row r="74" spans="1:4" s="2" customFormat="1" ht="15.75">
      <c r="A74" s="141">
        <v>3111001</v>
      </c>
      <c r="B74" s="122" t="s">
        <v>200</v>
      </c>
      <c r="C74" s="420">
        <v>4844000</v>
      </c>
      <c r="D74" s="837">
        <v>3000000</v>
      </c>
    </row>
    <row r="75" spans="1:4" s="2" customFormat="1" ht="15.75">
      <c r="A75" s="141">
        <v>3111002</v>
      </c>
      <c r="B75" s="122" t="s">
        <v>395</v>
      </c>
      <c r="C75" s="420">
        <v>1500000</v>
      </c>
      <c r="D75" s="839">
        <v>1000000</v>
      </c>
    </row>
    <row r="76" spans="1:4" s="2" customFormat="1" ht="15.75">
      <c r="A76" s="122" t="s">
        <v>143</v>
      </c>
      <c r="B76" s="122" t="s">
        <v>144</v>
      </c>
      <c r="C76" s="420">
        <v>5630000</v>
      </c>
      <c r="D76" s="837">
        <v>1000000</v>
      </c>
    </row>
    <row r="77" spans="1:4" s="2" customFormat="1" ht="15.75">
      <c r="A77" s="122" t="s">
        <v>145</v>
      </c>
      <c r="B77" s="122" t="s">
        <v>146</v>
      </c>
      <c r="C77" s="420">
        <v>20000000</v>
      </c>
      <c r="D77" s="839">
        <v>20000000</v>
      </c>
    </row>
    <row r="78" spans="1:4" s="2" customFormat="1" ht="15.75">
      <c r="A78" s="122" t="s">
        <v>147</v>
      </c>
      <c r="B78" s="122" t="s">
        <v>148</v>
      </c>
      <c r="C78" s="420">
        <v>50000</v>
      </c>
      <c r="D78" s="837">
        <v>300000</v>
      </c>
    </row>
    <row r="79" spans="1:4" s="2" customFormat="1" ht="15.75">
      <c r="A79" s="205" t="s">
        <v>170</v>
      </c>
      <c r="B79" s="205"/>
      <c r="C79" s="92">
        <f>SUM(C72:C78)</f>
        <v>47224000</v>
      </c>
      <c r="D79" s="92">
        <f>SUM(D72:D78)</f>
        <v>41300000</v>
      </c>
    </row>
    <row r="80" spans="1:4" s="2" customFormat="1" ht="15.75">
      <c r="A80" s="122"/>
      <c r="B80" s="101" t="s">
        <v>151</v>
      </c>
      <c r="C80" s="420"/>
      <c r="D80" s="420"/>
    </row>
    <row r="81" spans="1:4" s="2" customFormat="1" ht="15.75">
      <c r="A81" s="122" t="s">
        <v>149</v>
      </c>
      <c r="B81" s="122" t="s">
        <v>150</v>
      </c>
      <c r="C81" s="420">
        <v>1500000</v>
      </c>
      <c r="D81" s="839">
        <v>1500000</v>
      </c>
    </row>
    <row r="82" spans="1:4" s="2" customFormat="1" ht="15.75">
      <c r="A82" s="205" t="s">
        <v>170</v>
      </c>
      <c r="B82" s="205"/>
      <c r="C82" s="92">
        <f>SUM(C81)</f>
        <v>1500000</v>
      </c>
      <c r="D82" s="92">
        <f>SUM(D81)</f>
        <v>1500000</v>
      </c>
    </row>
    <row r="83" spans="1:4" s="2" customFormat="1" ht="15.75">
      <c r="A83" s="122"/>
      <c r="B83" s="101" t="s">
        <v>154</v>
      </c>
      <c r="C83" s="420"/>
      <c r="D83" s="420"/>
    </row>
    <row r="84" spans="1:4" s="2" customFormat="1" ht="15.75">
      <c r="A84" s="122" t="s">
        <v>157</v>
      </c>
      <c r="B84" s="122" t="s">
        <v>158</v>
      </c>
      <c r="C84" s="420">
        <v>7518992</v>
      </c>
      <c r="D84" s="837">
        <v>1500000</v>
      </c>
    </row>
    <row r="85" spans="1:4" s="2" customFormat="1" ht="15.75">
      <c r="A85" s="122" t="s">
        <v>165</v>
      </c>
      <c r="B85" s="122" t="s">
        <v>166</v>
      </c>
      <c r="C85" s="420">
        <v>200000</v>
      </c>
      <c r="D85" s="837">
        <v>1000000</v>
      </c>
    </row>
    <row r="86" spans="1:4" s="2" customFormat="1" ht="15.75">
      <c r="A86" s="205" t="s">
        <v>170</v>
      </c>
      <c r="B86" s="205"/>
      <c r="C86" s="92">
        <f>SUM(C84:C85)</f>
        <v>7718992</v>
      </c>
      <c r="D86" s="92">
        <f>SUM(D84:D85)</f>
        <v>2500000</v>
      </c>
    </row>
    <row r="87" spans="1:4" s="2" customFormat="1" ht="15.75">
      <c r="A87" s="203"/>
      <c r="B87" s="204" t="s">
        <v>768</v>
      </c>
      <c r="C87" s="92">
        <f>SUM(C86,C82,C79,C70,C66,C61,C55,C48,C44,C39,C33,C27,C22)</f>
        <v>174479792</v>
      </c>
      <c r="D87" s="92">
        <f>SUM(D86,D82,D79,D70,D66,D61,D55,D48,D44,D39,D33,D27,D22)</f>
        <v>112150000</v>
      </c>
    </row>
    <row r="88" spans="1:4" s="2" customFormat="1" ht="15.75">
      <c r="A88" s="203"/>
      <c r="B88" s="204" t="s">
        <v>771</v>
      </c>
      <c r="C88" s="92">
        <f>SUM(C87,C17)</f>
        <v>427587078</v>
      </c>
      <c r="D88" s="92">
        <f>SUM(D87,D17)</f>
        <v>372849172</v>
      </c>
    </row>
    <row r="89" spans="1:4" s="2" customFormat="1" ht="15.75">
      <c r="A89" s="183">
        <v>3100000</v>
      </c>
      <c r="B89" s="202" t="s">
        <v>763</v>
      </c>
      <c r="C89" s="420"/>
      <c r="D89" s="420"/>
    </row>
    <row r="90" spans="1:4" s="2" customFormat="1" ht="15.75">
      <c r="A90" s="171">
        <v>3110201</v>
      </c>
      <c r="B90" s="172" t="s">
        <v>492</v>
      </c>
      <c r="C90" s="420">
        <v>7605076</v>
      </c>
      <c r="D90" s="420"/>
    </row>
    <row r="91" spans="1:4" s="2" customFormat="1" ht="15.75">
      <c r="A91" s="205" t="s">
        <v>170</v>
      </c>
      <c r="B91" s="204"/>
      <c r="C91" s="92">
        <f>SUM(C90)</f>
        <v>7605076</v>
      </c>
      <c r="D91" s="92">
        <f>SUM(D90)</f>
        <v>0</v>
      </c>
    </row>
    <row r="92" spans="1:4" s="2" customFormat="1" ht="15.75">
      <c r="A92" s="204" t="s">
        <v>771</v>
      </c>
      <c r="B92" s="204" t="s">
        <v>772</v>
      </c>
      <c r="C92" s="92">
        <f>SUM(C91,C88)</f>
        <v>435192154</v>
      </c>
      <c r="D92" s="92">
        <f>SUM(D91,D88)</f>
        <v>372849172</v>
      </c>
    </row>
    <row r="93" spans="1:4" s="2" customFormat="1" ht="15.75">
      <c r="A93" s="160">
        <v>10202</v>
      </c>
      <c r="B93" s="71" t="s">
        <v>681</v>
      </c>
      <c r="C93" s="420"/>
      <c r="D93" s="420"/>
    </row>
    <row r="94" spans="1:4" s="2" customFormat="1" ht="15.75">
      <c r="A94" s="4" t="s">
        <v>26</v>
      </c>
      <c r="B94" s="4" t="s">
        <v>27</v>
      </c>
      <c r="C94" s="420">
        <v>20000</v>
      </c>
      <c r="D94" s="837">
        <v>20000</v>
      </c>
    </row>
    <row r="95" spans="1:4" s="2" customFormat="1" ht="15.75">
      <c r="A95" s="4" t="s">
        <v>31</v>
      </c>
      <c r="B95" s="4" t="s">
        <v>32</v>
      </c>
      <c r="C95" s="420">
        <v>100000</v>
      </c>
      <c r="D95" s="839">
        <v>100000</v>
      </c>
    </row>
    <row r="96" spans="1:4" s="2" customFormat="1" ht="15.75">
      <c r="A96" s="4" t="s">
        <v>33</v>
      </c>
      <c r="B96" s="4" t="s">
        <v>34</v>
      </c>
      <c r="C96" s="420">
        <v>300000</v>
      </c>
      <c r="D96" s="837">
        <v>300000</v>
      </c>
    </row>
    <row r="97" spans="1:4" s="2" customFormat="1" ht="15.75">
      <c r="A97" s="4" t="s">
        <v>36</v>
      </c>
      <c r="B97" s="4" t="s">
        <v>37</v>
      </c>
      <c r="C97" s="420">
        <v>6700000</v>
      </c>
      <c r="D97" s="839">
        <v>2500000</v>
      </c>
    </row>
    <row r="98" spans="1:4" s="2" customFormat="1" ht="15.75">
      <c r="A98" s="4" t="s">
        <v>38</v>
      </c>
      <c r="B98" s="4" t="s">
        <v>39</v>
      </c>
      <c r="C98" s="420">
        <v>3500000</v>
      </c>
      <c r="D98" s="837">
        <v>1800000</v>
      </c>
    </row>
    <row r="99" spans="1:4" s="502" customFormat="1" ht="15.75">
      <c r="A99" s="506">
        <v>2210401</v>
      </c>
      <c r="B99" s="505" t="s">
        <v>1082</v>
      </c>
      <c r="C99" s="420"/>
      <c r="D99" s="839">
        <v>2000000</v>
      </c>
    </row>
    <row r="100" spans="1:4" s="502" customFormat="1" ht="15.75">
      <c r="A100" s="506">
        <v>2210402</v>
      </c>
      <c r="B100" s="505" t="s">
        <v>1083</v>
      </c>
      <c r="C100" s="420"/>
      <c r="D100" s="837">
        <v>1500000</v>
      </c>
    </row>
    <row r="101" spans="1:4" s="502" customFormat="1" ht="15.75">
      <c r="A101" s="506">
        <v>2210403</v>
      </c>
      <c r="B101" s="505" t="s">
        <v>1084</v>
      </c>
      <c r="C101" s="420"/>
      <c r="D101" s="839">
        <v>1000000</v>
      </c>
    </row>
    <row r="102" spans="1:4" s="502" customFormat="1" ht="15.75">
      <c r="A102" s="506">
        <v>2210404</v>
      </c>
      <c r="B102" s="505" t="s">
        <v>1085</v>
      </c>
      <c r="C102" s="420"/>
      <c r="D102" s="837">
        <v>300000</v>
      </c>
    </row>
    <row r="103" spans="1:4" s="2" customFormat="1" ht="15.75">
      <c r="A103" s="4" t="s">
        <v>51</v>
      </c>
      <c r="B103" s="4" t="s">
        <v>52</v>
      </c>
      <c r="C103" s="420">
        <v>1000000</v>
      </c>
      <c r="D103" s="839">
        <v>700000</v>
      </c>
    </row>
    <row r="104" spans="1:4" s="2" customFormat="1" ht="15.75">
      <c r="A104" s="4" t="s">
        <v>53</v>
      </c>
      <c r="B104" s="4" t="s">
        <v>54</v>
      </c>
      <c r="C104" s="420">
        <v>100000</v>
      </c>
      <c r="D104" s="837">
        <v>100000</v>
      </c>
    </row>
    <row r="105" spans="1:4" s="2" customFormat="1" ht="15.75">
      <c r="A105" s="4" t="s">
        <v>55</v>
      </c>
      <c r="B105" s="4" t="s">
        <v>56</v>
      </c>
      <c r="C105" s="420">
        <v>1500000</v>
      </c>
      <c r="D105" s="839">
        <v>1000000</v>
      </c>
    </row>
    <row r="106" spans="1:4" s="2" customFormat="1" ht="15.75">
      <c r="A106" s="4" t="s">
        <v>122</v>
      </c>
      <c r="B106" s="4" t="s">
        <v>123</v>
      </c>
      <c r="C106" s="420">
        <v>1000000</v>
      </c>
      <c r="D106" s="837">
        <v>1000000</v>
      </c>
    </row>
    <row r="107" spans="1:4" s="2" customFormat="1" ht="15.75">
      <c r="A107" s="4" t="s">
        <v>125</v>
      </c>
      <c r="B107" s="4" t="s">
        <v>126</v>
      </c>
      <c r="C107" s="420">
        <v>250000</v>
      </c>
      <c r="D107" s="839">
        <v>800000</v>
      </c>
    </row>
    <row r="108" spans="1:4" s="2" customFormat="1" ht="15.75">
      <c r="A108" s="4" t="s">
        <v>127</v>
      </c>
      <c r="B108" s="4" t="s">
        <v>128</v>
      </c>
      <c r="C108" s="420">
        <v>250000</v>
      </c>
      <c r="D108" s="837">
        <v>700000</v>
      </c>
    </row>
    <row r="109" spans="1:4" s="2" customFormat="1" ht="15.75">
      <c r="A109" s="4" t="s">
        <v>82</v>
      </c>
      <c r="B109" s="4" t="s">
        <v>83</v>
      </c>
      <c r="C109" s="420">
        <v>3000000</v>
      </c>
      <c r="D109" s="839">
        <v>3000000</v>
      </c>
    </row>
    <row r="110" spans="1:4" s="2" customFormat="1" ht="15.75">
      <c r="A110" s="4" t="s">
        <v>85</v>
      </c>
      <c r="B110" s="4" t="s">
        <v>86</v>
      </c>
      <c r="C110" s="420">
        <v>3000000</v>
      </c>
      <c r="D110" s="837">
        <v>2500000</v>
      </c>
    </row>
    <row r="111" spans="1:4" s="2" customFormat="1" ht="15.75">
      <c r="A111" s="12">
        <v>2210701</v>
      </c>
      <c r="B111" s="99" t="s">
        <v>67</v>
      </c>
      <c r="C111" s="420">
        <v>50000</v>
      </c>
      <c r="D111" s="839">
        <v>50000</v>
      </c>
    </row>
    <row r="112" spans="1:4" s="2" customFormat="1" ht="15.75">
      <c r="A112" s="12">
        <v>2210702</v>
      </c>
      <c r="B112" s="99" t="s">
        <v>383</v>
      </c>
      <c r="C112" s="420">
        <v>250000</v>
      </c>
      <c r="D112" s="837">
        <v>250000</v>
      </c>
    </row>
    <row r="113" spans="1:4" s="2" customFormat="1" ht="15.75">
      <c r="A113" s="12">
        <v>2210710</v>
      </c>
      <c r="B113" s="99" t="s">
        <v>384</v>
      </c>
      <c r="C113" s="420">
        <v>300000</v>
      </c>
      <c r="D113" s="839">
        <v>300000</v>
      </c>
    </row>
    <row r="114" spans="1:4" s="2" customFormat="1" ht="15.75">
      <c r="A114" s="12">
        <v>3111002</v>
      </c>
      <c r="B114" s="4" t="s">
        <v>350</v>
      </c>
      <c r="C114" s="420">
        <v>600000</v>
      </c>
      <c r="D114" s="837">
        <v>500000</v>
      </c>
    </row>
    <row r="115" spans="1:4" s="2" customFormat="1" ht="15.75">
      <c r="A115" s="99" t="s">
        <v>143</v>
      </c>
      <c r="B115" s="99" t="s">
        <v>144</v>
      </c>
      <c r="C115" s="420">
        <v>3000000</v>
      </c>
      <c r="D115" s="839">
        <v>1000000</v>
      </c>
    </row>
    <row r="116" spans="1:4" s="2" customFormat="1" ht="15.75">
      <c r="A116" s="85" t="s">
        <v>141</v>
      </c>
      <c r="B116" s="56" t="s">
        <v>142</v>
      </c>
      <c r="C116" s="420">
        <v>3000000</v>
      </c>
      <c r="D116" s="837">
        <v>1500000</v>
      </c>
    </row>
    <row r="117" spans="1:4" s="2" customFormat="1" ht="15.75">
      <c r="A117" s="206">
        <v>3111009</v>
      </c>
      <c r="B117" s="56" t="s">
        <v>329</v>
      </c>
      <c r="C117" s="420">
        <v>2600000</v>
      </c>
      <c r="D117" s="839">
        <v>1500000</v>
      </c>
    </row>
    <row r="118" spans="1:4" s="2" customFormat="1" ht="15.75">
      <c r="A118" s="12">
        <v>3111001</v>
      </c>
      <c r="B118" s="4" t="s">
        <v>200</v>
      </c>
      <c r="C118" s="420">
        <v>1000000</v>
      </c>
      <c r="D118" s="837">
        <v>800000</v>
      </c>
    </row>
    <row r="119" spans="1:4" s="2" customFormat="1" ht="15.75">
      <c r="A119" s="85">
        <v>3110302</v>
      </c>
      <c r="B119" s="56" t="s">
        <v>351</v>
      </c>
      <c r="C119" s="420">
        <v>3000000</v>
      </c>
      <c r="D119" s="839">
        <v>3500000</v>
      </c>
    </row>
    <row r="120" spans="1:4" s="2" customFormat="1" ht="15.75">
      <c r="A120" s="6" t="s">
        <v>170</v>
      </c>
      <c r="B120" s="6" t="s">
        <v>916</v>
      </c>
      <c r="C120" s="7">
        <f>SUM(C94:C119)</f>
        <v>34520000</v>
      </c>
      <c r="D120" s="7">
        <f>SUM(D94:D119)</f>
        <v>28720000</v>
      </c>
    </row>
    <row r="121" spans="1:4" s="2" customFormat="1" ht="15.75">
      <c r="A121" s="64"/>
      <c r="B121" s="64" t="s">
        <v>763</v>
      </c>
      <c r="C121" s="420"/>
      <c r="D121" s="420"/>
    </row>
    <row r="122" spans="1:4" s="2" customFormat="1" ht="15.75">
      <c r="A122" s="206">
        <v>3111112</v>
      </c>
      <c r="B122" s="172" t="s">
        <v>894</v>
      </c>
      <c r="C122" s="420">
        <v>5000000</v>
      </c>
      <c r="D122" s="420"/>
    </row>
    <row r="123" spans="1:4" s="2" customFormat="1" ht="15.75">
      <c r="A123" s="64"/>
      <c r="B123" s="6" t="s">
        <v>917</v>
      </c>
      <c r="C123" s="7">
        <f>SUM(C122)</f>
        <v>5000000</v>
      </c>
      <c r="D123" s="7">
        <f>SUM(D122)</f>
        <v>0</v>
      </c>
    </row>
    <row r="124" spans="1:4" s="2" customFormat="1" ht="15.75">
      <c r="A124" s="64"/>
      <c r="B124" s="6" t="s">
        <v>752</v>
      </c>
      <c r="C124" s="7">
        <f>SUM(C123,C120)</f>
        <v>39520000</v>
      </c>
      <c r="D124" s="7">
        <f>SUM(D123,D120)</f>
        <v>28720000</v>
      </c>
    </row>
    <row r="125" spans="1:4" s="2" customFormat="1" ht="15.75">
      <c r="A125" s="183">
        <v>10203</v>
      </c>
      <c r="B125" s="71" t="s">
        <v>682</v>
      </c>
      <c r="C125" s="420"/>
      <c r="D125" s="420"/>
    </row>
    <row r="126" spans="1:4" s="2" customFormat="1" ht="15.75">
      <c r="A126" s="4" t="s">
        <v>26</v>
      </c>
      <c r="B126" s="4" t="s">
        <v>27</v>
      </c>
      <c r="C126" s="420">
        <v>100000</v>
      </c>
      <c r="D126" s="839">
        <v>100000</v>
      </c>
    </row>
    <row r="127" spans="1:4" s="2" customFormat="1" ht="15.75">
      <c r="A127" s="4" t="s">
        <v>33</v>
      </c>
      <c r="B127" s="4" t="s">
        <v>34</v>
      </c>
      <c r="C127" s="420">
        <v>300000</v>
      </c>
      <c r="D127" s="837">
        <v>400000</v>
      </c>
    </row>
    <row r="128" spans="1:4" s="2" customFormat="1" ht="15.75">
      <c r="A128" s="4" t="s">
        <v>36</v>
      </c>
      <c r="B128" s="4" t="s">
        <v>37</v>
      </c>
      <c r="C128" s="420">
        <v>1000000</v>
      </c>
      <c r="D128" s="839">
        <v>1000000</v>
      </c>
    </row>
    <row r="129" spans="1:4" s="2" customFormat="1" ht="15.75">
      <c r="A129" s="4" t="s">
        <v>38</v>
      </c>
      <c r="B129" s="4" t="s">
        <v>39</v>
      </c>
      <c r="C129" s="420">
        <v>2500000</v>
      </c>
      <c r="D129" s="837">
        <v>1500000</v>
      </c>
    </row>
    <row r="130" spans="1:4" s="2" customFormat="1" ht="15.75">
      <c r="A130" s="4" t="s">
        <v>51</v>
      </c>
      <c r="B130" s="4" t="s">
        <v>52</v>
      </c>
      <c r="C130" s="420">
        <v>4000000</v>
      </c>
      <c r="D130" s="839">
        <v>1500000</v>
      </c>
    </row>
    <row r="131" spans="1:4" s="2" customFormat="1" ht="15.75">
      <c r="A131" s="4" t="s">
        <v>122</v>
      </c>
      <c r="B131" s="4" t="s">
        <v>123</v>
      </c>
      <c r="C131" s="420">
        <v>500000</v>
      </c>
      <c r="D131" s="837">
        <v>700000</v>
      </c>
    </row>
    <row r="132" spans="1:4" s="2" customFormat="1" ht="15.75">
      <c r="A132" s="4" t="s">
        <v>125</v>
      </c>
      <c r="B132" s="4" t="s">
        <v>126</v>
      </c>
      <c r="C132" s="420">
        <v>200000</v>
      </c>
      <c r="D132" s="839">
        <v>400000</v>
      </c>
    </row>
    <row r="133" spans="1:4" s="2" customFormat="1" ht="15.75">
      <c r="A133" s="4" t="s">
        <v>127</v>
      </c>
      <c r="B133" s="4" t="s">
        <v>128</v>
      </c>
      <c r="C133" s="420">
        <v>100000</v>
      </c>
      <c r="D133" s="837">
        <v>400000</v>
      </c>
    </row>
    <row r="134" spans="1:4" s="2" customFormat="1" ht="15.75">
      <c r="A134" s="85">
        <v>2211308</v>
      </c>
      <c r="B134" s="56" t="s">
        <v>349</v>
      </c>
      <c r="C134" s="420">
        <v>12000000</v>
      </c>
      <c r="D134" s="839">
        <v>4000000</v>
      </c>
    </row>
    <row r="135" spans="1:4" s="2" customFormat="1" ht="15.75">
      <c r="A135" s="12">
        <v>3111001</v>
      </c>
      <c r="B135" s="99" t="s">
        <v>200</v>
      </c>
      <c r="C135" s="420">
        <v>1000000</v>
      </c>
      <c r="D135" s="837">
        <v>500000</v>
      </c>
    </row>
    <row r="136" spans="1:4" s="2" customFormat="1" ht="15.75">
      <c r="A136" s="99" t="s">
        <v>82</v>
      </c>
      <c r="B136" s="99" t="s">
        <v>83</v>
      </c>
      <c r="C136" s="420">
        <v>1000000</v>
      </c>
      <c r="D136" s="839">
        <v>700000</v>
      </c>
    </row>
    <row r="137" spans="1:4" s="2" customFormat="1" ht="15.75">
      <c r="A137" s="99" t="s">
        <v>139</v>
      </c>
      <c r="B137" s="99" t="s">
        <v>140</v>
      </c>
      <c r="C137" s="420">
        <v>1000000</v>
      </c>
      <c r="D137" s="837">
        <v>1000000</v>
      </c>
    </row>
    <row r="138" spans="1:4" s="2" customFormat="1" ht="15.75">
      <c r="A138" s="99" t="s">
        <v>393</v>
      </c>
      <c r="B138" s="99" t="s">
        <v>79</v>
      </c>
      <c r="C138" s="420">
        <v>500000</v>
      </c>
      <c r="D138" s="839">
        <v>600000</v>
      </c>
    </row>
    <row r="139" spans="1:4" s="502" customFormat="1" ht="15.75">
      <c r="A139" s="505"/>
      <c r="B139" s="505" t="s">
        <v>81</v>
      </c>
      <c r="C139" s="420"/>
      <c r="D139" s="837">
        <v>700000</v>
      </c>
    </row>
    <row r="140" spans="1:4" s="2" customFormat="1" ht="15.75">
      <c r="A140" s="99" t="s">
        <v>394</v>
      </c>
      <c r="B140" s="99" t="s">
        <v>395</v>
      </c>
      <c r="C140" s="420">
        <v>1500000</v>
      </c>
      <c r="D140" s="839">
        <v>1000000</v>
      </c>
    </row>
    <row r="141" spans="1:4" s="2" customFormat="1" ht="15.75">
      <c r="A141" s="6" t="s">
        <v>170</v>
      </c>
      <c r="B141" s="6" t="s">
        <v>691</v>
      </c>
      <c r="C141" s="7">
        <f>SUM(C126:C140)</f>
        <v>25700000</v>
      </c>
      <c r="D141" s="7">
        <f>SUM(D126:D140)</f>
        <v>14500000</v>
      </c>
    </row>
    <row r="142" spans="1:4" s="2" customFormat="1" ht="15.75">
      <c r="A142" s="183">
        <v>10204</v>
      </c>
      <c r="B142" s="71" t="s">
        <v>686</v>
      </c>
      <c r="C142" s="420"/>
      <c r="D142" s="420"/>
    </row>
    <row r="143" spans="1:4" s="2" customFormat="1" ht="15.75">
      <c r="A143" s="4" t="s">
        <v>26</v>
      </c>
      <c r="B143" s="4" t="s">
        <v>27</v>
      </c>
      <c r="C143" s="420">
        <v>200000</v>
      </c>
      <c r="D143" s="837">
        <v>200000</v>
      </c>
    </row>
    <row r="144" spans="1:4" s="2" customFormat="1" ht="15.75">
      <c r="A144" s="4" t="s">
        <v>33</v>
      </c>
      <c r="B144" s="4" t="s">
        <v>34</v>
      </c>
      <c r="C144" s="420">
        <v>250000</v>
      </c>
      <c r="D144" s="839">
        <v>250000</v>
      </c>
    </row>
    <row r="145" spans="1:4" s="2" customFormat="1" ht="15.75">
      <c r="A145" s="4" t="s">
        <v>36</v>
      </c>
      <c r="B145" s="4" t="s">
        <v>37</v>
      </c>
      <c r="C145" s="420">
        <v>1500000</v>
      </c>
      <c r="D145" s="837">
        <v>500000</v>
      </c>
    </row>
    <row r="146" spans="1:4" s="2" customFormat="1" ht="15.75">
      <c r="A146" s="4" t="s">
        <v>38</v>
      </c>
      <c r="B146" s="4" t="s">
        <v>39</v>
      </c>
      <c r="C146" s="420">
        <v>1500000</v>
      </c>
      <c r="D146" s="839">
        <v>1500000</v>
      </c>
    </row>
    <row r="147" spans="1:4" s="2" customFormat="1" ht="15.75">
      <c r="A147" s="12">
        <v>3111002</v>
      </c>
      <c r="B147" s="4" t="s">
        <v>201</v>
      </c>
      <c r="C147" s="420">
        <v>1500000</v>
      </c>
      <c r="D147" s="837">
        <v>800000</v>
      </c>
    </row>
    <row r="148" spans="1:4" s="2" customFormat="1" ht="15.75">
      <c r="A148" s="4" t="s">
        <v>51</v>
      </c>
      <c r="B148" s="4" t="s">
        <v>52</v>
      </c>
      <c r="C148" s="420">
        <v>1000000</v>
      </c>
      <c r="D148" s="839">
        <v>1500000</v>
      </c>
    </row>
    <row r="149" spans="1:4" s="2" customFormat="1" ht="15.75">
      <c r="A149" s="4" t="s">
        <v>122</v>
      </c>
      <c r="B149" s="4" t="s">
        <v>123</v>
      </c>
      <c r="C149" s="420">
        <v>300000</v>
      </c>
      <c r="D149" s="837">
        <v>600000</v>
      </c>
    </row>
    <row r="150" spans="1:4" s="2" customFormat="1" ht="15.75">
      <c r="A150" s="4" t="s">
        <v>125</v>
      </c>
      <c r="B150" s="4" t="s">
        <v>126</v>
      </c>
      <c r="C150" s="420">
        <v>500000</v>
      </c>
      <c r="D150" s="839">
        <v>500000</v>
      </c>
    </row>
    <row r="151" spans="1:4" s="2" customFormat="1" ht="15.75">
      <c r="A151" s="99" t="s">
        <v>139</v>
      </c>
      <c r="B151" s="99" t="s">
        <v>140</v>
      </c>
      <c r="C151" s="420">
        <v>100000</v>
      </c>
      <c r="D151" s="837">
        <v>100000</v>
      </c>
    </row>
    <row r="152" spans="1:4" s="502" customFormat="1" ht="15.75">
      <c r="A152" s="506">
        <v>2210307</v>
      </c>
      <c r="B152" s="54" t="s">
        <v>1046</v>
      </c>
      <c r="C152" s="420">
        <v>13500000</v>
      </c>
      <c r="D152" s="839">
        <v>0</v>
      </c>
    </row>
    <row r="153" spans="1:4" s="2" customFormat="1" ht="15.75">
      <c r="A153" s="99" t="s">
        <v>165</v>
      </c>
      <c r="B153" s="99" t="s">
        <v>166</v>
      </c>
      <c r="C153" s="420">
        <v>200000</v>
      </c>
      <c r="D153" s="837">
        <v>400000</v>
      </c>
    </row>
    <row r="154" spans="1:4" s="2" customFormat="1" ht="15.75">
      <c r="A154" s="99" t="s">
        <v>55</v>
      </c>
      <c r="B154" s="99" t="s">
        <v>56</v>
      </c>
      <c r="C154" s="420">
        <v>2000000</v>
      </c>
      <c r="D154" s="839">
        <v>2000000</v>
      </c>
    </row>
    <row r="155" spans="1:4" s="2" customFormat="1" ht="15.75">
      <c r="A155" s="99" t="s">
        <v>53</v>
      </c>
      <c r="B155" s="99" t="s">
        <v>54</v>
      </c>
      <c r="C155" s="420">
        <v>200000</v>
      </c>
      <c r="D155" s="837">
        <v>200000</v>
      </c>
    </row>
    <row r="156" spans="1:4" s="502" customFormat="1" ht="15.75">
      <c r="A156" s="505"/>
      <c r="B156" s="505" t="s">
        <v>1035</v>
      </c>
      <c r="C156" s="420">
        <v>12000000</v>
      </c>
      <c r="D156" s="839">
        <v>0</v>
      </c>
    </row>
    <row r="157" spans="1:4" s="502" customFormat="1" ht="15.75">
      <c r="A157" s="505"/>
      <c r="B157" s="505" t="s">
        <v>1036</v>
      </c>
      <c r="C157" s="420">
        <v>1000000</v>
      </c>
      <c r="D157" s="837">
        <v>0</v>
      </c>
    </row>
    <row r="158" spans="1:4" s="502" customFormat="1" ht="15.75">
      <c r="A158" s="505"/>
      <c r="B158" s="505" t="s">
        <v>200</v>
      </c>
      <c r="C158" s="420">
        <v>1000000</v>
      </c>
      <c r="D158" s="839">
        <v>700000</v>
      </c>
    </row>
    <row r="159" spans="1:4" s="502" customFormat="1" ht="15.75">
      <c r="A159" s="506" t="s">
        <v>161</v>
      </c>
      <c r="B159" s="505" t="s">
        <v>162</v>
      </c>
      <c r="C159" s="420">
        <v>5000000</v>
      </c>
      <c r="D159" s="837">
        <v>0</v>
      </c>
    </row>
    <row r="160" spans="1:4" s="2" customFormat="1" ht="15.75">
      <c r="A160" s="6" t="s">
        <v>170</v>
      </c>
      <c r="B160" s="6" t="s">
        <v>937</v>
      </c>
      <c r="C160" s="7">
        <f>SUM(C143:C159)</f>
        <v>41750000</v>
      </c>
      <c r="D160" s="7">
        <f>SUM(D143:D159)</f>
        <v>9250000</v>
      </c>
    </row>
    <row r="161" spans="1:4" s="2" customFormat="1" ht="15.75">
      <c r="A161" s="64"/>
      <c r="B161" s="64" t="s">
        <v>763</v>
      </c>
      <c r="C161" s="420"/>
      <c r="D161" s="420"/>
    </row>
    <row r="162" spans="1:4" s="2" customFormat="1" ht="15.75">
      <c r="A162" s="206">
        <v>3111004</v>
      </c>
      <c r="B162" s="56" t="str">
        <f>'PROJECTS DETAILS'!B6</f>
        <v>Establishment of County FM Station</v>
      </c>
      <c r="C162" s="420">
        <v>2394924</v>
      </c>
      <c r="D162" s="420"/>
    </row>
    <row r="163" spans="1:4" s="2" customFormat="1" ht="15.75">
      <c r="A163" s="64"/>
      <c r="B163" s="6" t="s">
        <v>964</v>
      </c>
      <c r="C163" s="7">
        <f>SUM(C162)</f>
        <v>2394924</v>
      </c>
      <c r="D163" s="7">
        <f>SUM(D162)</f>
        <v>0</v>
      </c>
    </row>
    <row r="164" spans="1:4" s="2" customFormat="1" ht="15.75">
      <c r="A164" s="64"/>
      <c r="B164" s="6" t="s">
        <v>690</v>
      </c>
      <c r="C164" s="7">
        <f>SUM(C163,C160)</f>
        <v>44144924</v>
      </c>
      <c r="D164" s="7">
        <f>SUM(D163,D160)</f>
        <v>9250000</v>
      </c>
    </row>
    <row r="165" spans="1:4" s="2" customFormat="1" ht="15.75">
      <c r="A165" s="183">
        <v>10205</v>
      </c>
      <c r="B165" s="71" t="s">
        <v>685</v>
      </c>
      <c r="C165" s="420"/>
      <c r="D165" s="420"/>
    </row>
    <row r="166" spans="1:4" s="2" customFormat="1" ht="15.75">
      <c r="A166" s="4" t="s">
        <v>26</v>
      </c>
      <c r="B166" s="4" t="s">
        <v>27</v>
      </c>
      <c r="C166" s="420">
        <v>20000</v>
      </c>
      <c r="D166" s="837"/>
    </row>
    <row r="167" spans="1:4" s="2" customFormat="1" ht="15.75">
      <c r="A167" s="4" t="s">
        <v>33</v>
      </c>
      <c r="B167" s="4" t="s">
        <v>34</v>
      </c>
      <c r="C167" s="420">
        <v>100000</v>
      </c>
      <c r="D167" s="839">
        <v>400000</v>
      </c>
    </row>
    <row r="168" spans="1:4" s="2" customFormat="1" ht="15.75">
      <c r="A168" s="4" t="s">
        <v>36</v>
      </c>
      <c r="B168" s="4" t="s">
        <v>37</v>
      </c>
      <c r="C168" s="420">
        <v>4500000</v>
      </c>
      <c r="D168" s="837">
        <v>2000000</v>
      </c>
    </row>
    <row r="169" spans="1:4" s="2" customFormat="1" ht="15.75">
      <c r="A169" s="4" t="s">
        <v>38</v>
      </c>
      <c r="B169" s="4" t="s">
        <v>39</v>
      </c>
      <c r="C169" s="420">
        <v>3000000</v>
      </c>
      <c r="D169" s="839">
        <v>1500000</v>
      </c>
    </row>
    <row r="170" spans="1:4" s="502" customFormat="1" ht="15.75">
      <c r="A170" s="505"/>
      <c r="B170" s="505" t="s">
        <v>1086</v>
      </c>
      <c r="C170" s="420"/>
      <c r="D170" s="837">
        <v>1500000</v>
      </c>
    </row>
    <row r="171" spans="1:4" s="2" customFormat="1" ht="15.75">
      <c r="A171" s="4" t="s">
        <v>122</v>
      </c>
      <c r="B171" s="4" t="s">
        <v>123</v>
      </c>
      <c r="C171" s="420">
        <v>500000</v>
      </c>
      <c r="D171" s="839">
        <v>800000</v>
      </c>
    </row>
    <row r="172" spans="1:4" s="2" customFormat="1" ht="15.75">
      <c r="A172" s="4" t="s">
        <v>125</v>
      </c>
      <c r="B172" s="4" t="s">
        <v>126</v>
      </c>
      <c r="C172" s="420">
        <v>200000</v>
      </c>
      <c r="D172" s="837">
        <v>700000</v>
      </c>
    </row>
    <row r="173" spans="1:4" s="149" customFormat="1" ht="15.75">
      <c r="A173" s="99" t="s">
        <v>53</v>
      </c>
      <c r="B173" s="99" t="s">
        <v>54</v>
      </c>
      <c r="C173" s="420">
        <v>30000</v>
      </c>
      <c r="D173" s="839">
        <v>50000</v>
      </c>
    </row>
    <row r="174" spans="1:4" ht="15.75">
      <c r="A174" s="6" t="s">
        <v>170</v>
      </c>
      <c r="B174" s="6" t="s">
        <v>689</v>
      </c>
      <c r="C174" s="7">
        <f>SUM(C166:C173)</f>
        <v>8350000</v>
      </c>
      <c r="D174" s="7">
        <f>SUM(D166:D173)</f>
        <v>6950000</v>
      </c>
    </row>
    <row r="175" spans="1:4" s="2" customFormat="1" ht="15.75">
      <c r="A175" s="199">
        <v>10206</v>
      </c>
      <c r="B175" s="199" t="s">
        <v>684</v>
      </c>
      <c r="C175" s="420"/>
      <c r="D175" s="420"/>
    </row>
    <row r="176" spans="1:4" s="2" customFormat="1" ht="15.75">
      <c r="A176" s="99"/>
      <c r="B176" s="101" t="s">
        <v>35</v>
      </c>
      <c r="C176" s="420"/>
      <c r="D176" s="420"/>
    </row>
    <row r="177" spans="1:4" s="2" customFormat="1" ht="15.75">
      <c r="A177" s="99" t="s">
        <v>33</v>
      </c>
      <c r="B177" s="99" t="s">
        <v>34</v>
      </c>
      <c r="C177" s="420">
        <v>100000</v>
      </c>
      <c r="D177" s="839">
        <v>200000</v>
      </c>
    </row>
    <row r="178" spans="1:4" s="2" customFormat="1" ht="15.75">
      <c r="A178" s="99" t="s">
        <v>36</v>
      </c>
      <c r="B178" s="99" t="s">
        <v>37</v>
      </c>
      <c r="C178" s="420">
        <v>1000000</v>
      </c>
      <c r="D178" s="837">
        <v>1000000</v>
      </c>
    </row>
    <row r="179" spans="1:4" s="2" customFormat="1" ht="15.75">
      <c r="A179" s="99" t="s">
        <v>38</v>
      </c>
      <c r="B179" s="99" t="s">
        <v>39</v>
      </c>
      <c r="C179" s="420">
        <v>500000</v>
      </c>
      <c r="D179" s="839">
        <v>1000000</v>
      </c>
    </row>
    <row r="180" spans="1:4" s="2" customFormat="1" ht="15.75">
      <c r="A180" s="99"/>
      <c r="B180" s="101" t="s">
        <v>84</v>
      </c>
      <c r="C180" s="420"/>
      <c r="D180" s="837"/>
    </row>
    <row r="181" spans="1:4" s="2" customFormat="1" ht="15.75">
      <c r="A181" s="99" t="s">
        <v>82</v>
      </c>
      <c r="B181" s="99" t="s">
        <v>83</v>
      </c>
      <c r="C181" s="420">
        <v>200000</v>
      </c>
      <c r="D181" s="839">
        <v>500000</v>
      </c>
    </row>
    <row r="182" spans="1:4" s="2" customFormat="1" ht="15.75">
      <c r="A182" s="99" t="s">
        <v>85</v>
      </c>
      <c r="B182" s="99" t="s">
        <v>86</v>
      </c>
      <c r="C182" s="420">
        <v>700000</v>
      </c>
      <c r="D182" s="837">
        <v>700000</v>
      </c>
    </row>
    <row r="183" spans="1:4" s="2" customFormat="1" ht="15.75">
      <c r="A183" s="6"/>
      <c r="B183" s="6" t="s">
        <v>688</v>
      </c>
      <c r="C183" s="61">
        <f>SUM(C177:C182)</f>
        <v>2500000</v>
      </c>
      <c r="D183" s="61">
        <f>SUM(D177:D182)</f>
        <v>3400000</v>
      </c>
    </row>
    <row r="184" spans="1:4" s="2" customFormat="1" ht="15.75">
      <c r="A184" s="199">
        <v>10207</v>
      </c>
      <c r="B184" s="199" t="s">
        <v>683</v>
      </c>
      <c r="C184" s="420"/>
      <c r="D184" s="420"/>
    </row>
    <row r="185" spans="1:4" s="2" customFormat="1" ht="15.75">
      <c r="A185" s="99" t="s">
        <v>26</v>
      </c>
      <c r="B185" s="99" t="s">
        <v>27</v>
      </c>
      <c r="C185" s="420">
        <v>100000</v>
      </c>
      <c r="D185" s="839">
        <v>100000</v>
      </c>
    </row>
    <row r="186" spans="1:4" s="2" customFormat="1" ht="15.75">
      <c r="A186" s="99" t="s">
        <v>33</v>
      </c>
      <c r="B186" s="99" t="s">
        <v>34</v>
      </c>
      <c r="C186" s="420">
        <v>200000</v>
      </c>
      <c r="D186" s="837">
        <v>200000</v>
      </c>
    </row>
    <row r="187" spans="1:4" s="2" customFormat="1" ht="15.75">
      <c r="A187" s="99" t="s">
        <v>36</v>
      </c>
      <c r="B187" s="99" t="s">
        <v>37</v>
      </c>
      <c r="C187" s="420">
        <v>1000000</v>
      </c>
      <c r="D187" s="839">
        <v>1000000</v>
      </c>
    </row>
    <row r="188" spans="1:4" s="2" customFormat="1" ht="15.75">
      <c r="A188" s="99" t="s">
        <v>38</v>
      </c>
      <c r="B188" s="99" t="s">
        <v>39</v>
      </c>
      <c r="C188" s="420">
        <v>1000000</v>
      </c>
      <c r="D188" s="837">
        <v>1000000</v>
      </c>
    </row>
    <row r="189" spans="1:4" s="2" customFormat="1" ht="15.75">
      <c r="A189" s="99" t="s">
        <v>122</v>
      </c>
      <c r="B189" s="99" t="s">
        <v>123</v>
      </c>
      <c r="C189" s="420">
        <v>250000</v>
      </c>
      <c r="D189" s="839">
        <v>200000</v>
      </c>
    </row>
    <row r="190" spans="1:4" s="2" customFormat="1" ht="15.75">
      <c r="A190" s="99" t="s">
        <v>125</v>
      </c>
      <c r="B190" s="99" t="s">
        <v>126</v>
      </c>
      <c r="C190" s="420">
        <v>250000</v>
      </c>
      <c r="D190" s="837">
        <v>200000</v>
      </c>
    </row>
    <row r="191" spans="1:4" s="2" customFormat="1" ht="15.75">
      <c r="A191" s="99" t="s">
        <v>51</v>
      </c>
      <c r="B191" s="99" t="s">
        <v>52</v>
      </c>
      <c r="C191" s="420">
        <v>50000</v>
      </c>
      <c r="D191" s="839">
        <v>50000</v>
      </c>
    </row>
    <row r="192" spans="1:4" s="2" customFormat="1" ht="15.75">
      <c r="A192" s="99" t="s">
        <v>85</v>
      </c>
      <c r="B192" s="99" t="s">
        <v>86</v>
      </c>
      <c r="C192" s="420">
        <v>500000</v>
      </c>
      <c r="D192" s="837">
        <v>500000</v>
      </c>
    </row>
    <row r="193" spans="1:4" s="2" customFormat="1" ht="15.75">
      <c r="A193" s="99" t="s">
        <v>129</v>
      </c>
      <c r="B193" s="99" t="s">
        <v>130</v>
      </c>
      <c r="C193" s="420">
        <v>1000000</v>
      </c>
      <c r="D193" s="839">
        <v>500000</v>
      </c>
    </row>
    <row r="194" spans="1:4" s="2" customFormat="1" ht="15.75">
      <c r="A194" s="6"/>
      <c r="B194" s="6" t="s">
        <v>1113</v>
      </c>
      <c r="C194" s="7">
        <f>SUM(C185:C193)</f>
        <v>4350000</v>
      </c>
      <c r="D194" s="7">
        <f>SUM(D185:D193)</f>
        <v>3750000</v>
      </c>
    </row>
    <row r="195" spans="1:4" ht="15.75">
      <c r="A195" s="6"/>
      <c r="B195" s="6" t="s">
        <v>785</v>
      </c>
      <c r="C195" s="7">
        <f>SUM(C194,C183,C174,C160,C141,C120,C87)</f>
        <v>291649792</v>
      </c>
      <c r="D195" s="7">
        <f>SUM(D194,D183,D174,D160,D141,D120,D87)</f>
        <v>178720000</v>
      </c>
    </row>
    <row r="196" spans="1:4" ht="15.75">
      <c r="A196" s="6"/>
      <c r="B196" s="6" t="s">
        <v>784</v>
      </c>
      <c r="C196" s="7">
        <f>SUM(C195,C17)</f>
        <v>544757078</v>
      </c>
      <c r="D196" s="7">
        <f>SUM(D195,D17)</f>
        <v>439419172</v>
      </c>
    </row>
    <row r="197" spans="1:4" s="98" customFormat="1" ht="15.75">
      <c r="A197" s="6"/>
      <c r="B197" s="6" t="s">
        <v>787</v>
      </c>
      <c r="C197" s="7">
        <f>SUM(C163,C123,C91)</f>
        <v>15000000</v>
      </c>
      <c r="D197" s="7">
        <f>SUM(D163,D123,D91)</f>
        <v>0</v>
      </c>
    </row>
    <row r="198" spans="1:4" s="98" customFormat="1" ht="15.75">
      <c r="A198" s="6"/>
      <c r="B198" s="6"/>
      <c r="C198" s="7">
        <f>SUM(C196,C197)</f>
        <v>559757078</v>
      </c>
      <c r="D198" s="7">
        <f>SUM(D196,D197)</f>
        <v>439419172</v>
      </c>
    </row>
    <row r="199" spans="1:3" ht="15.75">
      <c r="A199" s="282"/>
      <c r="B199" s="283" t="s">
        <v>786</v>
      </c>
      <c r="C199" s="9">
        <v>33792000</v>
      </c>
    </row>
    <row r="200" spans="3:4" ht="15.75">
      <c r="C200" s="8">
        <v>578549078</v>
      </c>
      <c r="D200" s="8"/>
    </row>
    <row r="202" ht="15.75">
      <c r="C202" s="9">
        <v>593549078</v>
      </c>
    </row>
    <row r="203" ht="15.75">
      <c r="C203" s="9">
        <v>15000000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30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D73"/>
  <sheetViews>
    <sheetView view="pageBreakPreview" zoomScale="130" zoomScaleSheetLayoutView="130" zoomScalePageLayoutView="0" workbookViewId="0" topLeftCell="A1">
      <pane ySplit="2" topLeftCell="A63" activePane="bottomLeft" state="frozen"/>
      <selection pane="topLeft" activeCell="E12" sqref="E12"/>
      <selection pane="bottomLeft" activeCell="D74" sqref="D74"/>
    </sheetView>
  </sheetViews>
  <sheetFormatPr defaultColWidth="9.140625" defaultRowHeight="15"/>
  <cols>
    <col min="1" max="1" width="11.28125" style="0" customWidth="1"/>
    <col min="2" max="2" width="67.28125" style="0" customWidth="1"/>
    <col min="3" max="3" width="17.00390625" style="0" customWidth="1"/>
    <col min="4" max="4" width="17.00390625" style="504" customWidth="1"/>
  </cols>
  <sheetData>
    <row r="1" spans="1:2" ht="15.75">
      <c r="A1" s="921" t="s">
        <v>178</v>
      </c>
      <c r="B1" s="922"/>
    </row>
    <row r="2" spans="1:4" ht="57">
      <c r="A2" s="917" t="s">
        <v>168</v>
      </c>
      <c r="B2" s="918"/>
      <c r="C2" s="766" t="s">
        <v>1066</v>
      </c>
      <c r="D2" s="431" t="s">
        <v>1068</v>
      </c>
    </row>
    <row r="3" spans="1:4" s="98" customFormat="1" ht="15.75">
      <c r="A3" s="200">
        <v>10208</v>
      </c>
      <c r="B3" s="200" t="s">
        <v>692</v>
      </c>
      <c r="C3" s="201"/>
      <c r="D3" s="201"/>
    </row>
    <row r="4" spans="1:4" s="98" customFormat="1" ht="15.75">
      <c r="A4" s="202">
        <v>2200000</v>
      </c>
      <c r="B4" s="64" t="s">
        <v>679</v>
      </c>
      <c r="C4" s="201"/>
      <c r="D4" s="201"/>
    </row>
    <row r="5" spans="1:4" ht="15.75">
      <c r="A5" s="4"/>
      <c r="B5" s="101" t="s">
        <v>21</v>
      </c>
      <c r="C5" s="201"/>
      <c r="D5" s="201"/>
    </row>
    <row r="6" spans="1:4" ht="15.75">
      <c r="A6" s="4" t="s">
        <v>19</v>
      </c>
      <c r="B6" s="4" t="s">
        <v>20</v>
      </c>
      <c r="C6" s="105">
        <v>72000</v>
      </c>
      <c r="D6" s="105">
        <v>72000</v>
      </c>
    </row>
    <row r="7" spans="1:4" s="403" customFormat="1" ht="15.75">
      <c r="A7" s="506">
        <v>2210102</v>
      </c>
      <c r="B7" s="99" t="s">
        <v>1005</v>
      </c>
      <c r="C7" s="105">
        <v>50000</v>
      </c>
      <c r="D7" s="105">
        <v>50000</v>
      </c>
    </row>
    <row r="8" spans="1:4" ht="15.75">
      <c r="A8" s="4" t="s">
        <v>24</v>
      </c>
      <c r="B8" s="4" t="s">
        <v>25</v>
      </c>
      <c r="C8" s="105">
        <v>10000</v>
      </c>
      <c r="D8" s="105"/>
    </row>
    <row r="9" spans="1:4" ht="15.75">
      <c r="A9" s="6" t="s">
        <v>170</v>
      </c>
      <c r="B9" s="6"/>
      <c r="C9" s="7">
        <f>SUM(C6:C8)</f>
        <v>132000</v>
      </c>
      <c r="D9" s="7">
        <f>SUM(D6:D8)</f>
        <v>122000</v>
      </c>
    </row>
    <row r="10" spans="1:4" ht="15.75">
      <c r="A10" s="4"/>
      <c r="B10" s="101" t="s">
        <v>28</v>
      </c>
      <c r="C10" s="201"/>
      <c r="D10" s="201"/>
    </row>
    <row r="11" spans="1:4" ht="15.75">
      <c r="A11" s="4" t="s">
        <v>26</v>
      </c>
      <c r="B11" s="4" t="s">
        <v>27</v>
      </c>
      <c r="C11" s="105">
        <v>350000</v>
      </c>
      <c r="D11" s="105">
        <v>350000</v>
      </c>
    </row>
    <row r="12" spans="1:4" ht="15.75">
      <c r="A12" s="4" t="s">
        <v>29</v>
      </c>
      <c r="B12" s="4" t="s">
        <v>30</v>
      </c>
      <c r="C12" s="105">
        <v>50000</v>
      </c>
      <c r="D12" s="105">
        <v>50000</v>
      </c>
    </row>
    <row r="13" spans="1:4" ht="15.75">
      <c r="A13" s="4" t="s">
        <v>31</v>
      </c>
      <c r="B13" s="4" t="s">
        <v>32</v>
      </c>
      <c r="C13" s="105">
        <v>40000</v>
      </c>
      <c r="D13" s="105">
        <v>40000</v>
      </c>
    </row>
    <row r="14" spans="1:4" ht="15.75">
      <c r="A14" s="6" t="s">
        <v>170</v>
      </c>
      <c r="B14" s="6"/>
      <c r="C14" s="7">
        <f>SUM(C11:C13)</f>
        <v>440000</v>
      </c>
      <c r="D14" s="7">
        <f>SUM(D11:D13)</f>
        <v>440000</v>
      </c>
    </row>
    <row r="15" spans="1:4" ht="15.75">
      <c r="A15" s="4"/>
      <c r="B15" s="101" t="s">
        <v>35</v>
      </c>
      <c r="C15" s="201"/>
      <c r="D15" s="201"/>
    </row>
    <row r="16" spans="1:4" ht="15.75">
      <c r="A16" s="4" t="s">
        <v>33</v>
      </c>
      <c r="B16" s="4" t="s">
        <v>34</v>
      </c>
      <c r="C16" s="105">
        <v>1700000</v>
      </c>
      <c r="D16" s="105">
        <v>1000000</v>
      </c>
    </row>
    <row r="17" spans="1:4" ht="15.75">
      <c r="A17" s="4" t="s">
        <v>36</v>
      </c>
      <c r="B17" s="4" t="s">
        <v>37</v>
      </c>
      <c r="C17" s="105">
        <v>8800000</v>
      </c>
      <c r="D17" s="105">
        <v>4800000</v>
      </c>
    </row>
    <row r="18" spans="1:4" ht="15.75">
      <c r="A18" s="4" t="s">
        <v>38</v>
      </c>
      <c r="B18" s="4" t="s">
        <v>39</v>
      </c>
      <c r="C18" s="105">
        <v>3500000</v>
      </c>
      <c r="D18" s="105">
        <v>2000000</v>
      </c>
    </row>
    <row r="19" spans="1:4" ht="15.75">
      <c r="A19" s="6" t="s">
        <v>170</v>
      </c>
      <c r="B19" s="6"/>
      <c r="C19" s="7">
        <f>SUM(C16:C18)</f>
        <v>14000000</v>
      </c>
      <c r="D19" s="7">
        <f>SUM(D16:D18)</f>
        <v>7800000</v>
      </c>
    </row>
    <row r="20" spans="1:4" s="2" customFormat="1" ht="15.75">
      <c r="A20" s="64"/>
      <c r="B20" s="174" t="s">
        <v>44</v>
      </c>
      <c r="C20" s="417"/>
      <c r="D20" s="417"/>
    </row>
    <row r="21" spans="1:4" s="2" customFormat="1" ht="15.75">
      <c r="A21" s="99" t="s">
        <v>42</v>
      </c>
      <c r="B21" s="99" t="s">
        <v>43</v>
      </c>
      <c r="C21" s="420">
        <v>250000</v>
      </c>
      <c r="D21" s="420">
        <v>250000</v>
      </c>
    </row>
    <row r="22" spans="1:4" s="502" customFormat="1" ht="18.75" customHeight="1">
      <c r="A22" s="56" t="s">
        <v>45</v>
      </c>
      <c r="B22" s="56" t="s">
        <v>965</v>
      </c>
      <c r="C22" s="420">
        <v>500000</v>
      </c>
      <c r="D22" s="420">
        <v>500000</v>
      </c>
    </row>
    <row r="23" spans="1:4" s="2" customFormat="1" ht="15.75">
      <c r="A23" s="6" t="s">
        <v>170</v>
      </c>
      <c r="B23" s="6"/>
      <c r="C23" s="7">
        <f>SUM(C21:C22)</f>
        <v>750000</v>
      </c>
      <c r="D23" s="7">
        <f>SUM(D21:D22)</f>
        <v>750000</v>
      </c>
    </row>
    <row r="24" spans="1:4" ht="15.75">
      <c r="A24" s="4"/>
      <c r="B24" s="101" t="s">
        <v>50</v>
      </c>
      <c r="C24" s="201"/>
      <c r="D24" s="201"/>
    </row>
    <row r="25" spans="1:4" s="502" customFormat="1" ht="15.75">
      <c r="A25" s="56" t="s">
        <v>51</v>
      </c>
      <c r="B25" s="56" t="s">
        <v>52</v>
      </c>
      <c r="C25" s="420">
        <v>500000</v>
      </c>
      <c r="D25" s="420">
        <v>500000</v>
      </c>
    </row>
    <row r="26" spans="1:4" ht="15.75">
      <c r="A26" s="4" t="s">
        <v>53</v>
      </c>
      <c r="B26" s="4" t="s">
        <v>54</v>
      </c>
      <c r="C26" s="105">
        <v>240000</v>
      </c>
      <c r="D26" s="105">
        <v>240000</v>
      </c>
    </row>
    <row r="27" spans="1:4" ht="15.75">
      <c r="A27" s="4" t="s">
        <v>55</v>
      </c>
      <c r="B27" s="4" t="s">
        <v>56</v>
      </c>
      <c r="C27" s="105">
        <v>2000000</v>
      </c>
      <c r="D27" s="105">
        <v>2000000</v>
      </c>
    </row>
    <row r="28" spans="1:4" ht="15.75">
      <c r="A28" s="6" t="s">
        <v>170</v>
      </c>
      <c r="B28" s="6"/>
      <c r="C28" s="7">
        <f>SUM(C25:C27)</f>
        <v>2740000</v>
      </c>
      <c r="D28" s="7">
        <f>SUM(D25:D27)</f>
        <v>2740000</v>
      </c>
    </row>
    <row r="29" spans="1:4" ht="15.75">
      <c r="A29" s="4"/>
      <c r="B29" s="101" t="s">
        <v>59</v>
      </c>
      <c r="C29" s="201"/>
      <c r="D29" s="201"/>
    </row>
    <row r="30" spans="1:4" ht="15.75">
      <c r="A30" s="4" t="s">
        <v>62</v>
      </c>
      <c r="B30" s="4" t="s">
        <v>63</v>
      </c>
      <c r="C30" s="105">
        <v>620000</v>
      </c>
      <c r="D30" s="105">
        <v>620000</v>
      </c>
    </row>
    <row r="31" spans="1:4" ht="15.75">
      <c r="A31" s="6" t="s">
        <v>170</v>
      </c>
      <c r="B31" s="6"/>
      <c r="C31" s="118">
        <f>SUM(C30)</f>
        <v>620000</v>
      </c>
      <c r="D31" s="118">
        <f>SUM(D30)</f>
        <v>620000</v>
      </c>
    </row>
    <row r="32" spans="1:4" ht="15.75">
      <c r="A32" s="4"/>
      <c r="B32" s="101" t="s">
        <v>68</v>
      </c>
      <c r="C32" s="201"/>
      <c r="D32" s="201"/>
    </row>
    <row r="33" spans="1:4" ht="15.75">
      <c r="A33" s="4" t="s">
        <v>66</v>
      </c>
      <c r="B33" s="4" t="s">
        <v>67</v>
      </c>
      <c r="C33" s="105">
        <v>150000</v>
      </c>
      <c r="D33" s="105">
        <v>50000</v>
      </c>
    </row>
    <row r="34" spans="1:4" ht="15.75">
      <c r="A34" s="4" t="s">
        <v>69</v>
      </c>
      <c r="B34" s="4" t="s">
        <v>70</v>
      </c>
      <c r="C34" s="105">
        <v>200000</v>
      </c>
      <c r="D34" s="105">
        <v>100000</v>
      </c>
    </row>
    <row r="35" spans="1:4" ht="15.75">
      <c r="A35" s="4" t="s">
        <v>71</v>
      </c>
      <c r="B35" s="4" t="s">
        <v>72</v>
      </c>
      <c r="C35" s="105">
        <v>100000</v>
      </c>
      <c r="D35" s="105">
        <v>50000</v>
      </c>
    </row>
    <row r="36" spans="1:4" ht="15.75">
      <c r="A36" s="4" t="s">
        <v>73</v>
      </c>
      <c r="B36" s="4" t="s">
        <v>74</v>
      </c>
      <c r="C36" s="105">
        <v>200000</v>
      </c>
      <c r="D36" s="105">
        <v>200000</v>
      </c>
    </row>
    <row r="37" spans="1:4" ht="15.75">
      <c r="A37" s="4" t="s">
        <v>75</v>
      </c>
      <c r="B37" s="4" t="s">
        <v>76</v>
      </c>
      <c r="C37" s="105">
        <v>1900000</v>
      </c>
      <c r="D37" s="105">
        <v>700000</v>
      </c>
    </row>
    <row r="38" spans="1:4" ht="15.75">
      <c r="A38" s="4" t="s">
        <v>77</v>
      </c>
      <c r="B38" s="4" t="s">
        <v>78</v>
      </c>
      <c r="C38" s="105">
        <v>500000</v>
      </c>
      <c r="D38" s="105">
        <v>500000</v>
      </c>
    </row>
    <row r="39" spans="1:4" ht="15.75">
      <c r="A39" s="4" t="s">
        <v>80</v>
      </c>
      <c r="B39" s="4" t="s">
        <v>81</v>
      </c>
      <c r="C39" s="105">
        <v>1000000</v>
      </c>
      <c r="D39" s="105">
        <v>500000</v>
      </c>
    </row>
    <row r="40" spans="1:4" ht="15.75">
      <c r="A40" s="6" t="s">
        <v>170</v>
      </c>
      <c r="B40" s="6"/>
      <c r="C40" s="7">
        <f>SUM(C33:C39)</f>
        <v>4050000</v>
      </c>
      <c r="D40" s="7">
        <f>SUM(D33:D39)</f>
        <v>2100000</v>
      </c>
    </row>
    <row r="41" spans="1:4" ht="15.75">
      <c r="A41" s="4"/>
      <c r="B41" s="101" t="s">
        <v>84</v>
      </c>
      <c r="C41" s="201"/>
      <c r="D41" s="201"/>
    </row>
    <row r="42" spans="1:4" s="502" customFormat="1" ht="15.75">
      <c r="A42" s="56" t="s">
        <v>82</v>
      </c>
      <c r="B42" s="56" t="s">
        <v>83</v>
      </c>
      <c r="C42" s="420">
        <v>750000</v>
      </c>
      <c r="D42" s="420">
        <v>750000</v>
      </c>
    </row>
    <row r="43" spans="1:4" ht="15.75">
      <c r="A43" s="4" t="s">
        <v>85</v>
      </c>
      <c r="B43" s="4" t="s">
        <v>86</v>
      </c>
      <c r="C43" s="105">
        <v>1000000</v>
      </c>
      <c r="D43" s="105">
        <v>1000000</v>
      </c>
    </row>
    <row r="44" spans="1:4" ht="15.75">
      <c r="A44" s="6" t="s">
        <v>170</v>
      </c>
      <c r="B44" s="6"/>
      <c r="C44" s="7">
        <f>SUM(C42:C43)</f>
        <v>1750000</v>
      </c>
      <c r="D44" s="7">
        <f>SUM(D42:D43)</f>
        <v>1750000</v>
      </c>
    </row>
    <row r="45" spans="1:4" ht="15.75">
      <c r="A45" s="4"/>
      <c r="B45" s="101" t="s">
        <v>101</v>
      </c>
      <c r="C45" s="201"/>
      <c r="D45" s="201"/>
    </row>
    <row r="46" spans="1:4" ht="15.75">
      <c r="A46" s="4" t="s">
        <v>112</v>
      </c>
      <c r="B46" s="4" t="s">
        <v>113</v>
      </c>
      <c r="C46" s="105">
        <v>50000</v>
      </c>
      <c r="D46" s="105">
        <v>50000</v>
      </c>
    </row>
    <row r="47" spans="1:4" ht="15.75">
      <c r="A47" s="6" t="s">
        <v>170</v>
      </c>
      <c r="B47" s="6"/>
      <c r="C47" s="7">
        <f>SUM(C46)</f>
        <v>50000</v>
      </c>
      <c r="D47" s="7">
        <f>SUM(D46)</f>
        <v>50000</v>
      </c>
    </row>
    <row r="48" spans="1:4" ht="15.75">
      <c r="A48" s="4"/>
      <c r="B48" s="101" t="s">
        <v>124</v>
      </c>
      <c r="C48" s="201"/>
      <c r="D48" s="201"/>
    </row>
    <row r="49" spans="1:4" ht="15.75">
      <c r="A49" s="4" t="s">
        <v>122</v>
      </c>
      <c r="B49" s="4" t="s">
        <v>123</v>
      </c>
      <c r="C49" s="105">
        <v>500000</v>
      </c>
      <c r="D49" s="105">
        <v>500000</v>
      </c>
    </row>
    <row r="50" spans="1:4" ht="15.75">
      <c r="A50" s="4" t="s">
        <v>125</v>
      </c>
      <c r="B50" s="4" t="s">
        <v>126</v>
      </c>
      <c r="C50" s="105">
        <v>500000</v>
      </c>
      <c r="D50" s="105">
        <v>500000</v>
      </c>
    </row>
    <row r="51" spans="1:4" ht="15.75">
      <c r="A51" s="4" t="s">
        <v>127</v>
      </c>
      <c r="B51" s="4" t="s">
        <v>128</v>
      </c>
      <c r="C51" s="105">
        <v>100000</v>
      </c>
      <c r="D51" s="105">
        <v>100000</v>
      </c>
    </row>
    <row r="52" spans="1:4" ht="15.75">
      <c r="A52" s="6" t="s">
        <v>170</v>
      </c>
      <c r="B52" s="6"/>
      <c r="C52" s="7">
        <f>SUM(C49:C51)</f>
        <v>1100000</v>
      </c>
      <c r="D52" s="7">
        <f>SUM(D49:D51)</f>
        <v>1100000</v>
      </c>
    </row>
    <row r="53" spans="1:4" ht="15.75">
      <c r="A53" s="4"/>
      <c r="B53" s="101" t="s">
        <v>131</v>
      </c>
      <c r="C53" s="201"/>
      <c r="D53" s="201"/>
    </row>
    <row r="54" spans="1:4" ht="15.75">
      <c r="A54" s="4" t="s">
        <v>129</v>
      </c>
      <c r="B54" s="4" t="s">
        <v>130</v>
      </c>
      <c r="C54" s="105">
        <v>500000</v>
      </c>
      <c r="D54" s="105">
        <v>500000</v>
      </c>
    </row>
    <row r="55" spans="1:4" ht="15.75">
      <c r="A55" s="4" t="s">
        <v>132</v>
      </c>
      <c r="B55" s="4" t="s">
        <v>133</v>
      </c>
      <c r="C55" s="105">
        <v>50000</v>
      </c>
      <c r="D55" s="105">
        <v>50000</v>
      </c>
    </row>
    <row r="56" spans="1:4" ht="15.75">
      <c r="A56" s="6" t="s">
        <v>170</v>
      </c>
      <c r="B56" s="6"/>
      <c r="C56" s="7">
        <f>SUM(C54:C55)</f>
        <v>550000</v>
      </c>
      <c r="D56" s="7">
        <f>SUM(D54:D55)</f>
        <v>550000</v>
      </c>
    </row>
    <row r="57" spans="1:4" ht="15.75">
      <c r="A57" s="4"/>
      <c r="B57" s="101" t="s">
        <v>136</v>
      </c>
      <c r="C57" s="201"/>
      <c r="D57" s="201"/>
    </row>
    <row r="58" spans="1:4" s="502" customFormat="1" ht="15.75">
      <c r="A58" s="85">
        <v>3111009</v>
      </c>
      <c r="B58" s="56" t="s">
        <v>202</v>
      </c>
      <c r="C58" s="420">
        <v>300000</v>
      </c>
      <c r="D58" s="420">
        <v>300000</v>
      </c>
    </row>
    <row r="59" spans="1:4" ht="15.75">
      <c r="A59" s="12">
        <v>3111002</v>
      </c>
      <c r="B59" s="4" t="s">
        <v>203</v>
      </c>
      <c r="C59" s="105">
        <v>1200000</v>
      </c>
      <c r="D59" s="105">
        <v>1200000</v>
      </c>
    </row>
    <row r="60" spans="1:4" ht="15.75">
      <c r="A60" s="12">
        <v>3111005</v>
      </c>
      <c r="B60" s="4" t="s">
        <v>204</v>
      </c>
      <c r="C60" s="105">
        <v>0</v>
      </c>
      <c r="D60" s="105">
        <v>200000</v>
      </c>
    </row>
    <row r="61" spans="1:4" ht="15.75">
      <c r="A61" s="12" t="s">
        <v>139</v>
      </c>
      <c r="B61" s="4" t="s">
        <v>140</v>
      </c>
      <c r="C61" s="105">
        <v>500000</v>
      </c>
      <c r="D61" s="105">
        <v>500000</v>
      </c>
    </row>
    <row r="62" spans="1:4" ht="15.75">
      <c r="A62" s="12" t="s">
        <v>147</v>
      </c>
      <c r="B62" s="4" t="s">
        <v>148</v>
      </c>
      <c r="C62" s="105">
        <v>10000</v>
      </c>
      <c r="D62" s="105">
        <v>10000</v>
      </c>
    </row>
    <row r="63" spans="1:4" ht="15.75">
      <c r="A63" s="6" t="s">
        <v>170</v>
      </c>
      <c r="B63" s="6"/>
      <c r="C63" s="7">
        <f>SUM(C58:C62)</f>
        <v>2010000</v>
      </c>
      <c r="D63" s="7">
        <f>SUM(D58:D62)</f>
        <v>2210000</v>
      </c>
    </row>
    <row r="64" spans="1:4" s="2" customFormat="1" ht="15.75">
      <c r="A64" s="99"/>
      <c r="B64" s="119" t="s">
        <v>374</v>
      </c>
      <c r="C64" s="417"/>
      <c r="D64" s="417"/>
    </row>
    <row r="65" spans="1:4" s="2" customFormat="1" ht="15.75">
      <c r="A65" s="99" t="s">
        <v>392</v>
      </c>
      <c r="B65" s="56" t="s">
        <v>487</v>
      </c>
      <c r="C65" s="420">
        <v>0</v>
      </c>
      <c r="D65" s="420">
        <v>5000000</v>
      </c>
    </row>
    <row r="66" spans="1:4" s="2" customFormat="1" ht="15.75">
      <c r="A66" s="6" t="s">
        <v>170</v>
      </c>
      <c r="B66" s="6"/>
      <c r="C66" s="7">
        <f>SUM(C65:C65)</f>
        <v>0</v>
      </c>
      <c r="D66" s="7">
        <f>SUM(D65:D65)</f>
        <v>5000000</v>
      </c>
    </row>
    <row r="67" spans="1:4" ht="15.75">
      <c r="A67" s="4"/>
      <c r="B67" s="101" t="s">
        <v>151</v>
      </c>
      <c r="C67" s="201"/>
      <c r="D67" s="201"/>
    </row>
    <row r="68" spans="1:4" ht="15.75">
      <c r="A68" s="4" t="s">
        <v>149</v>
      </c>
      <c r="B68" s="4" t="s">
        <v>150</v>
      </c>
      <c r="C68" s="105">
        <v>600000</v>
      </c>
      <c r="D68" s="105">
        <v>600000</v>
      </c>
    </row>
    <row r="69" spans="1:4" ht="15.75">
      <c r="A69" s="6" t="s">
        <v>170</v>
      </c>
      <c r="B69" s="6"/>
      <c r="C69" s="7">
        <f>SUM(C68)</f>
        <v>600000</v>
      </c>
      <c r="D69" s="7">
        <f>SUM(D68)</f>
        <v>600000</v>
      </c>
    </row>
    <row r="70" spans="1:4" ht="15.75">
      <c r="A70" s="4"/>
      <c r="B70" s="101" t="s">
        <v>154</v>
      </c>
      <c r="C70" s="201"/>
      <c r="D70" s="201"/>
    </row>
    <row r="71" spans="1:4" ht="14.25" customHeight="1">
      <c r="A71" s="4" t="s">
        <v>157</v>
      </c>
      <c r="B71" s="4" t="s">
        <v>158</v>
      </c>
      <c r="C71" s="105">
        <v>5000000</v>
      </c>
      <c r="D71" s="105">
        <v>5000000</v>
      </c>
    </row>
    <row r="72" spans="1:4" ht="15.75">
      <c r="A72" s="6" t="s">
        <v>170</v>
      </c>
      <c r="B72" s="6"/>
      <c r="C72" s="7">
        <f>SUM(C71)</f>
        <v>5000000</v>
      </c>
      <c r="D72" s="7">
        <f>SUM(D71)</f>
        <v>5000000</v>
      </c>
    </row>
    <row r="73" spans="1:4" ht="15.75">
      <c r="A73" s="6"/>
      <c r="B73" s="6" t="s">
        <v>693</v>
      </c>
      <c r="C73" s="7">
        <f>SUM(C72,C69,C66,C63,C56,C52,C47,C44,C40,C31,C28,C23,C19,C14,C9,)</f>
        <v>33792000</v>
      </c>
      <c r="D73" s="7">
        <f>SUM(D72,D69,D66,D63,D56,D52,D47,D44,D40,D31,D28,D23,D19,D14,D9,)</f>
        <v>30832000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54"/>
  <sheetViews>
    <sheetView tabSelected="1" view="pageBreakPreview" zoomScaleSheetLayoutView="100" zoomScalePageLayoutView="0" workbookViewId="0" topLeftCell="A1">
      <pane ySplit="2" topLeftCell="A139" activePane="bottomLeft" state="frozen"/>
      <selection pane="topLeft" activeCell="E12" sqref="E12"/>
      <selection pane="bottomLeft" activeCell="A107" sqref="A107:IV118"/>
    </sheetView>
  </sheetViews>
  <sheetFormatPr defaultColWidth="9.140625" defaultRowHeight="15"/>
  <cols>
    <col min="1" max="1" width="10.140625" style="209" customWidth="1"/>
    <col min="2" max="2" width="69.57421875" style="1" customWidth="1"/>
    <col min="3" max="4" width="20.00390625" style="9" customWidth="1"/>
    <col min="5" max="5" width="10.28125" style="0" bestFit="1" customWidth="1"/>
  </cols>
  <sheetData>
    <row r="1" spans="1:2" ht="15.75">
      <c r="A1" s="921" t="s">
        <v>212</v>
      </c>
      <c r="B1" s="922"/>
    </row>
    <row r="2" spans="1:4" s="21" customFormat="1" ht="63">
      <c r="A2" s="904" t="s">
        <v>168</v>
      </c>
      <c r="B2" s="923"/>
      <c r="C2" s="393" t="s">
        <v>1066</v>
      </c>
      <c r="D2" s="393" t="s">
        <v>1068</v>
      </c>
    </row>
    <row r="3" spans="1:4" s="98" customFormat="1" ht="15.75">
      <c r="A3" s="200">
        <v>103</v>
      </c>
      <c r="B3" s="200" t="s">
        <v>694</v>
      </c>
      <c r="C3" s="105"/>
      <c r="D3" s="105"/>
    </row>
    <row r="4" spans="1:4" s="98" customFormat="1" ht="15.75">
      <c r="A4" s="200">
        <v>10301</v>
      </c>
      <c r="B4" s="200" t="s">
        <v>680</v>
      </c>
      <c r="C4" s="105"/>
      <c r="D4" s="105"/>
    </row>
    <row r="5" spans="1:4" s="98" customFormat="1" ht="15.75">
      <c r="A5" s="200">
        <v>2100000</v>
      </c>
      <c r="B5" s="200" t="s">
        <v>678</v>
      </c>
      <c r="C5" s="105"/>
      <c r="D5" s="105"/>
    </row>
    <row r="6" spans="1:4" ht="15.75">
      <c r="A6" s="135"/>
      <c r="B6" s="101" t="s">
        <v>2</v>
      </c>
      <c r="C6" s="105"/>
      <c r="D6" s="105"/>
    </row>
    <row r="7" spans="1:4" ht="15.75">
      <c r="A7" s="12" t="s">
        <v>0</v>
      </c>
      <c r="B7" s="5" t="s">
        <v>1</v>
      </c>
      <c r="C7" s="105">
        <v>335173092</v>
      </c>
      <c r="D7" s="575">
        <v>348580015</v>
      </c>
    </row>
    <row r="8" spans="1:4" ht="15.75">
      <c r="A8" s="140" t="s">
        <v>170</v>
      </c>
      <c r="B8" s="6"/>
      <c r="C8" s="213">
        <f>SUM(C7)</f>
        <v>335173092</v>
      </c>
      <c r="D8" s="213">
        <f>SUM(D7)</f>
        <v>348580015</v>
      </c>
    </row>
    <row r="9" spans="1:4" ht="15.75">
      <c r="A9" s="12"/>
      <c r="B9" s="101" t="s">
        <v>5</v>
      </c>
      <c r="C9" s="105"/>
      <c r="D9" s="105"/>
    </row>
    <row r="10" spans="1:4" ht="15.75">
      <c r="A10" s="12" t="s">
        <v>3</v>
      </c>
      <c r="B10" s="99" t="s">
        <v>4</v>
      </c>
      <c r="C10" s="105">
        <v>107893368</v>
      </c>
      <c r="D10" s="575">
        <v>112209102</v>
      </c>
    </row>
    <row r="11" spans="1:4" ht="15.75">
      <c r="A11" s="12" t="s">
        <v>10</v>
      </c>
      <c r="B11" s="99" t="s">
        <v>11</v>
      </c>
      <c r="C11" s="105">
        <v>41638031</v>
      </c>
      <c r="D11" s="833">
        <v>43303552</v>
      </c>
    </row>
    <row r="12" spans="1:4" ht="15.75">
      <c r="A12" s="12" t="s">
        <v>12</v>
      </c>
      <c r="B12" s="99" t="s">
        <v>13</v>
      </c>
      <c r="C12" s="105">
        <v>5009508</v>
      </c>
      <c r="D12" s="833">
        <v>5209888</v>
      </c>
    </row>
    <row r="13" spans="1:4" ht="15.75">
      <c r="A13" s="140" t="s">
        <v>170</v>
      </c>
      <c r="B13" s="6"/>
      <c r="C13" s="213">
        <f>SUM(C10:C12)</f>
        <v>154540907</v>
      </c>
      <c r="D13" s="213">
        <f>SUM(D10:D12)</f>
        <v>160722542</v>
      </c>
    </row>
    <row r="14" spans="1:4" ht="15.75">
      <c r="A14" s="140" t="s">
        <v>173</v>
      </c>
      <c r="B14" s="6"/>
      <c r="C14" s="213">
        <f>SUM(C13,C8)</f>
        <v>489713999</v>
      </c>
      <c r="D14" s="213">
        <f>SUM(D13,D8)</f>
        <v>509302557</v>
      </c>
    </row>
    <row r="15" spans="1:4" s="98" customFormat="1" ht="15.75">
      <c r="A15" s="202">
        <v>2200000</v>
      </c>
      <c r="B15" s="64" t="s">
        <v>679</v>
      </c>
      <c r="C15" s="105"/>
      <c r="D15" s="105"/>
    </row>
    <row r="16" spans="1:4" ht="15.75">
      <c r="A16" s="12"/>
      <c r="B16" s="101" t="s">
        <v>21</v>
      </c>
      <c r="C16" s="105"/>
      <c r="D16" s="105"/>
    </row>
    <row r="17" spans="1:4" ht="15.75">
      <c r="A17" s="12" t="s">
        <v>19</v>
      </c>
      <c r="B17" s="99" t="s">
        <v>20</v>
      </c>
      <c r="C17" s="105">
        <v>200000</v>
      </c>
      <c r="D17" s="105">
        <v>200000</v>
      </c>
    </row>
    <row r="18" spans="1:4" ht="15.75">
      <c r="A18" s="12" t="s">
        <v>22</v>
      </c>
      <c r="B18" s="99" t="s">
        <v>23</v>
      </c>
      <c r="C18" s="105">
        <v>50000</v>
      </c>
      <c r="D18" s="105">
        <v>50000</v>
      </c>
    </row>
    <row r="19" spans="1:4" ht="15.75">
      <c r="A19" s="140" t="s">
        <v>170</v>
      </c>
      <c r="B19" s="6"/>
      <c r="C19" s="213">
        <f>SUM(C17:C18)</f>
        <v>250000</v>
      </c>
      <c r="D19" s="213">
        <f>SUM(D17:D18)</f>
        <v>250000</v>
      </c>
    </row>
    <row r="20" spans="1:4" ht="15.75">
      <c r="A20" s="12"/>
      <c r="B20" s="101" t="s">
        <v>28</v>
      </c>
      <c r="C20" s="105"/>
      <c r="D20" s="105"/>
    </row>
    <row r="21" spans="1:4" ht="15.75">
      <c r="A21" s="12" t="s">
        <v>26</v>
      </c>
      <c r="B21" s="99" t="s">
        <v>27</v>
      </c>
      <c r="C21" s="105">
        <v>958000</v>
      </c>
      <c r="D21" s="575">
        <v>103077</v>
      </c>
    </row>
    <row r="22" spans="1:4" ht="15.75">
      <c r="A22" s="12" t="s">
        <v>29</v>
      </c>
      <c r="B22" s="99" t="s">
        <v>30</v>
      </c>
      <c r="C22" s="105">
        <v>40000</v>
      </c>
      <c r="D22" s="105"/>
    </row>
    <row r="23" spans="1:4" ht="15.75">
      <c r="A23" s="12" t="s">
        <v>31</v>
      </c>
      <c r="B23" s="99" t="s">
        <v>32</v>
      </c>
      <c r="C23" s="105">
        <v>8000</v>
      </c>
      <c r="D23" s="105"/>
    </row>
    <row r="24" spans="1:4" ht="15.75">
      <c r="A24" s="140" t="s">
        <v>170</v>
      </c>
      <c r="B24" s="6"/>
      <c r="C24" s="213">
        <f>SUM(C21:C23)</f>
        <v>1006000</v>
      </c>
      <c r="D24" s="213">
        <f>SUM(D21:D23)</f>
        <v>103077</v>
      </c>
    </row>
    <row r="25" spans="1:4" ht="15.75">
      <c r="A25" s="12"/>
      <c r="B25" s="101" t="s">
        <v>35</v>
      </c>
      <c r="C25" s="105"/>
      <c r="D25" s="105"/>
    </row>
    <row r="26" spans="1:4" ht="15.75">
      <c r="A26" s="12" t="s">
        <v>33</v>
      </c>
      <c r="B26" s="99" t="s">
        <v>34</v>
      </c>
      <c r="C26" s="105">
        <v>200000</v>
      </c>
      <c r="D26" s="575">
        <v>200000</v>
      </c>
    </row>
    <row r="27" spans="1:4" ht="15.75">
      <c r="A27" s="12" t="s">
        <v>36</v>
      </c>
      <c r="B27" s="99" t="s">
        <v>37</v>
      </c>
      <c r="C27" s="105">
        <v>2000000</v>
      </c>
      <c r="D27" s="575">
        <v>1000000</v>
      </c>
    </row>
    <row r="28" spans="1:4" ht="15.75">
      <c r="A28" s="12" t="s">
        <v>38</v>
      </c>
      <c r="B28" s="99" t="s">
        <v>39</v>
      </c>
      <c r="C28" s="105">
        <v>2800000</v>
      </c>
      <c r="D28" s="575">
        <v>1000000</v>
      </c>
    </row>
    <row r="29" spans="1:4" ht="15.75">
      <c r="A29" s="140" t="s">
        <v>170</v>
      </c>
      <c r="B29" s="6"/>
      <c r="C29" s="213">
        <f>SUM(C26:C28)</f>
        <v>5000000</v>
      </c>
      <c r="D29" s="213">
        <f>SUM(D26:D28)</f>
        <v>2200000</v>
      </c>
    </row>
    <row r="30" spans="1:4" ht="15.75">
      <c r="A30" s="12"/>
      <c r="B30" s="101" t="s">
        <v>44</v>
      </c>
      <c r="C30" s="105"/>
      <c r="D30" s="105"/>
    </row>
    <row r="31" spans="1:4" ht="15.75">
      <c r="A31" s="12" t="s">
        <v>42</v>
      </c>
      <c r="B31" s="99" t="s">
        <v>43</v>
      </c>
      <c r="C31" s="105">
        <v>200000</v>
      </c>
      <c r="D31" s="575">
        <v>200000</v>
      </c>
    </row>
    <row r="32" spans="1:4" ht="15.75">
      <c r="A32" s="12" t="s">
        <v>45</v>
      </c>
      <c r="B32" s="99" t="s">
        <v>46</v>
      </c>
      <c r="C32" s="105">
        <v>600000</v>
      </c>
      <c r="D32" s="575">
        <v>500000</v>
      </c>
    </row>
    <row r="33" spans="1:4" ht="15.75">
      <c r="A33" s="12" t="s">
        <v>47</v>
      </c>
      <c r="B33" s="99" t="s">
        <v>39</v>
      </c>
      <c r="C33" s="105">
        <v>600000</v>
      </c>
      <c r="D33" s="575">
        <v>500000</v>
      </c>
    </row>
    <row r="34" spans="1:4" ht="15.75">
      <c r="A34" s="140" t="s">
        <v>170</v>
      </c>
      <c r="B34" s="6"/>
      <c r="C34" s="213">
        <f>SUM(C31:C33)</f>
        <v>1400000</v>
      </c>
      <c r="D34" s="213">
        <f>SUM(D31:D33)</f>
        <v>1200000</v>
      </c>
    </row>
    <row r="35" spans="1:4" ht="15.75">
      <c r="A35" s="12"/>
      <c r="B35" s="101" t="s">
        <v>50</v>
      </c>
      <c r="C35" s="105"/>
      <c r="D35" s="105"/>
    </row>
    <row r="36" spans="1:4" ht="15.75">
      <c r="A36" s="12" t="s">
        <v>51</v>
      </c>
      <c r="B36" s="99" t="s">
        <v>52</v>
      </c>
      <c r="C36" s="105">
        <v>100000</v>
      </c>
      <c r="D36" s="105">
        <v>1000000</v>
      </c>
    </row>
    <row r="37" spans="1:4" ht="15.75">
      <c r="A37" s="12" t="s">
        <v>53</v>
      </c>
      <c r="B37" s="99" t="s">
        <v>54</v>
      </c>
      <c r="C37" s="105">
        <v>40000</v>
      </c>
      <c r="D37" s="575">
        <v>40000</v>
      </c>
    </row>
    <row r="38" spans="1:4" ht="15.75">
      <c r="A38" s="12" t="s">
        <v>55</v>
      </c>
      <c r="B38" s="99" t="s">
        <v>56</v>
      </c>
      <c r="C38" s="105">
        <v>2975000</v>
      </c>
      <c r="D38" s="575">
        <v>1000000</v>
      </c>
    </row>
    <row r="39" spans="1:4" ht="15.75">
      <c r="A39" s="12" t="s">
        <v>57</v>
      </c>
      <c r="B39" s="99" t="s">
        <v>58</v>
      </c>
      <c r="C39" s="105">
        <v>1000000</v>
      </c>
      <c r="D39" s="105">
        <v>970000</v>
      </c>
    </row>
    <row r="40" spans="1:4" ht="15.75">
      <c r="A40" s="140" t="s">
        <v>170</v>
      </c>
      <c r="B40" s="6"/>
      <c r="C40" s="213">
        <f>SUM(C36:C39)</f>
        <v>4115000</v>
      </c>
      <c r="D40" s="213">
        <f>SUM(D36:D39)</f>
        <v>3010000</v>
      </c>
    </row>
    <row r="41" spans="1:4" s="2" customFormat="1" ht="15.75">
      <c r="A41" s="179"/>
      <c r="B41" s="101" t="s">
        <v>68</v>
      </c>
      <c r="C41" s="420"/>
      <c r="D41" s="420"/>
    </row>
    <row r="42" spans="1:4" s="2" customFormat="1" ht="15.75">
      <c r="A42" s="12" t="s">
        <v>66</v>
      </c>
      <c r="B42" s="99" t="s">
        <v>67</v>
      </c>
      <c r="C42" s="420">
        <v>200000</v>
      </c>
      <c r="D42" s="576">
        <v>200000</v>
      </c>
    </row>
    <row r="43" spans="1:4" s="2" customFormat="1" ht="15.75">
      <c r="A43" s="12" t="s">
        <v>71</v>
      </c>
      <c r="B43" s="99" t="s">
        <v>72</v>
      </c>
      <c r="C43" s="420">
        <v>750000</v>
      </c>
      <c r="D43" s="420"/>
    </row>
    <row r="44" spans="1:4" s="2" customFormat="1" ht="15.75">
      <c r="A44" s="12" t="s">
        <v>75</v>
      </c>
      <c r="B44" s="99" t="s">
        <v>76</v>
      </c>
      <c r="C44" s="420">
        <v>800000</v>
      </c>
      <c r="D44" s="576">
        <v>710000</v>
      </c>
    </row>
    <row r="45" spans="1:4" s="2" customFormat="1" ht="15.75">
      <c r="A45" s="12" t="s">
        <v>77</v>
      </c>
      <c r="B45" s="99" t="s">
        <v>78</v>
      </c>
      <c r="C45" s="420">
        <v>160000</v>
      </c>
      <c r="D45" s="420"/>
    </row>
    <row r="46" spans="1:4" s="502" customFormat="1" ht="15.75">
      <c r="A46" s="506"/>
      <c r="B46" s="505" t="s">
        <v>81</v>
      </c>
      <c r="C46" s="420"/>
      <c r="D46" s="420">
        <v>1500000</v>
      </c>
    </row>
    <row r="47" spans="1:4" s="2" customFormat="1" ht="15.75">
      <c r="A47" s="140" t="s">
        <v>170</v>
      </c>
      <c r="B47" s="6"/>
      <c r="C47" s="213">
        <f>SUM(C42:C46)</f>
        <v>1910000</v>
      </c>
      <c r="D47" s="213">
        <f>SUM(D42:D46)</f>
        <v>2410000</v>
      </c>
    </row>
    <row r="48" spans="1:4" ht="15.75">
      <c r="A48" s="12"/>
      <c r="B48" s="101" t="s">
        <v>84</v>
      </c>
      <c r="C48" s="105"/>
      <c r="D48" s="105"/>
    </row>
    <row r="49" spans="1:4" ht="15.75">
      <c r="A49" s="12" t="s">
        <v>82</v>
      </c>
      <c r="B49" s="99" t="s">
        <v>83</v>
      </c>
      <c r="C49" s="105">
        <v>200000</v>
      </c>
      <c r="D49" s="575">
        <v>200000</v>
      </c>
    </row>
    <row r="50" spans="1:4" ht="15.75">
      <c r="A50" s="12" t="s">
        <v>85</v>
      </c>
      <c r="B50" s="99" t="s">
        <v>86</v>
      </c>
      <c r="C50" s="105">
        <v>80000</v>
      </c>
      <c r="D50" s="575">
        <v>100000</v>
      </c>
    </row>
    <row r="51" spans="1:4" s="403" customFormat="1" ht="15.75">
      <c r="A51" s="12">
        <v>2210807</v>
      </c>
      <c r="B51" s="99" t="s">
        <v>989</v>
      </c>
      <c r="C51" s="105">
        <v>1000000</v>
      </c>
      <c r="D51" s="105"/>
    </row>
    <row r="52" spans="1:4" ht="15.75">
      <c r="A52" s="12" t="s">
        <v>87</v>
      </c>
      <c r="B52" s="99" t="s">
        <v>88</v>
      </c>
      <c r="C52" s="105">
        <v>44000000</v>
      </c>
      <c r="D52" s="576">
        <v>30000000</v>
      </c>
    </row>
    <row r="53" spans="1:4" ht="15.75">
      <c r="A53" s="12" t="s">
        <v>90</v>
      </c>
      <c r="B53" s="99" t="s">
        <v>91</v>
      </c>
      <c r="C53" s="105">
        <v>3000000</v>
      </c>
      <c r="D53" s="576">
        <v>2000000</v>
      </c>
    </row>
    <row r="54" spans="1:4" ht="15.75">
      <c r="A54" s="140" t="s">
        <v>170</v>
      </c>
      <c r="B54" s="6"/>
      <c r="C54" s="213">
        <f>SUM(C49:C53)</f>
        <v>48280000</v>
      </c>
      <c r="D54" s="213">
        <f>SUM(D49:D53)</f>
        <v>32300000</v>
      </c>
    </row>
    <row r="55" spans="1:4" ht="15.75">
      <c r="A55" s="12"/>
      <c r="B55" s="101" t="s">
        <v>101</v>
      </c>
      <c r="C55" s="105"/>
      <c r="D55" s="105"/>
    </row>
    <row r="56" spans="1:4" ht="15.75">
      <c r="A56" s="12" t="s">
        <v>116</v>
      </c>
      <c r="B56" s="99" t="s">
        <v>117</v>
      </c>
      <c r="C56" s="105">
        <v>9000000</v>
      </c>
      <c r="D56" s="105"/>
    </row>
    <row r="57" spans="1:4" ht="15.75">
      <c r="A57" s="140" t="s">
        <v>170</v>
      </c>
      <c r="B57" s="6"/>
      <c r="C57" s="213">
        <f>SUM(C56)</f>
        <v>9000000</v>
      </c>
      <c r="D57" s="213">
        <f>SUM(D56)</f>
        <v>0</v>
      </c>
    </row>
    <row r="58" spans="1:4" ht="15.75">
      <c r="A58" s="12"/>
      <c r="B58" s="101" t="s">
        <v>124</v>
      </c>
      <c r="C58" s="105"/>
      <c r="D58" s="105"/>
    </row>
    <row r="59" spans="1:4" ht="15.75">
      <c r="A59" s="12" t="s">
        <v>122</v>
      </c>
      <c r="B59" s="99" t="s">
        <v>123</v>
      </c>
      <c r="C59" s="105">
        <v>3300000</v>
      </c>
      <c r="D59" s="105">
        <v>1000000</v>
      </c>
    </row>
    <row r="60" spans="1:4" ht="15.75">
      <c r="A60" s="12" t="s">
        <v>125</v>
      </c>
      <c r="B60" s="99" t="s">
        <v>126</v>
      </c>
      <c r="C60" s="105">
        <v>200000</v>
      </c>
      <c r="D60" s="105">
        <v>0</v>
      </c>
    </row>
    <row r="61" spans="1:4" ht="15.75">
      <c r="A61" s="12" t="s">
        <v>127</v>
      </c>
      <c r="B61" s="99" t="s">
        <v>128</v>
      </c>
      <c r="C61" s="105">
        <v>600000</v>
      </c>
      <c r="D61" s="575">
        <v>1000000</v>
      </c>
    </row>
    <row r="62" spans="1:4" ht="15.75">
      <c r="A62" s="140" t="s">
        <v>170</v>
      </c>
      <c r="B62" s="6"/>
      <c r="C62" s="213">
        <f>SUM(C59:C61)</f>
        <v>4100000</v>
      </c>
      <c r="D62" s="213">
        <f>SUM(D59:D61)</f>
        <v>2000000</v>
      </c>
    </row>
    <row r="63" spans="1:4" ht="15.75">
      <c r="A63" s="12"/>
      <c r="B63" s="101" t="s">
        <v>131</v>
      </c>
      <c r="C63" s="105"/>
      <c r="D63" s="105"/>
    </row>
    <row r="64" spans="1:4" ht="15.75">
      <c r="A64" s="12" t="s">
        <v>129</v>
      </c>
      <c r="B64" s="99" t="s">
        <v>130</v>
      </c>
      <c r="C64" s="105">
        <v>9000000</v>
      </c>
      <c r="D64" s="575">
        <v>1800000</v>
      </c>
    </row>
    <row r="65" spans="1:4" ht="15.75">
      <c r="A65" s="12" t="s">
        <v>132</v>
      </c>
      <c r="B65" s="99" t="s">
        <v>133</v>
      </c>
      <c r="C65" s="105">
        <v>400000</v>
      </c>
      <c r="D65" s="575">
        <v>120000</v>
      </c>
    </row>
    <row r="66" spans="1:4" ht="15.75">
      <c r="A66" s="140" t="s">
        <v>170</v>
      </c>
      <c r="B66" s="6"/>
      <c r="C66" s="213">
        <f>SUM(C64:C65)</f>
        <v>9400000</v>
      </c>
      <c r="D66" s="213">
        <f>SUM(D64:D65)</f>
        <v>1920000</v>
      </c>
    </row>
    <row r="67" spans="1:4" ht="15.75">
      <c r="A67" s="12"/>
      <c r="B67" s="101" t="s">
        <v>136</v>
      </c>
      <c r="C67" s="105"/>
      <c r="D67" s="105"/>
    </row>
    <row r="68" spans="1:4" s="504" customFormat="1" ht="15.75">
      <c r="A68" s="506">
        <v>3110701</v>
      </c>
      <c r="B68" s="505" t="s">
        <v>348</v>
      </c>
      <c r="C68" s="105">
        <v>5000000</v>
      </c>
      <c r="D68" s="105"/>
    </row>
    <row r="69" spans="1:4" ht="15.75">
      <c r="A69" s="12" t="s">
        <v>137</v>
      </c>
      <c r="B69" s="99" t="s">
        <v>138</v>
      </c>
      <c r="C69" s="105">
        <v>2375000</v>
      </c>
      <c r="D69" s="105">
        <v>2026000</v>
      </c>
    </row>
    <row r="70" spans="1:4" ht="15.75">
      <c r="A70" s="12" t="s">
        <v>143</v>
      </c>
      <c r="B70" s="99" t="s">
        <v>144</v>
      </c>
      <c r="C70" s="105">
        <v>2000000</v>
      </c>
      <c r="D70" s="105">
        <v>1000000</v>
      </c>
    </row>
    <row r="71" spans="1:4" s="70" customFormat="1" ht="15.75">
      <c r="A71" s="140" t="s">
        <v>170</v>
      </c>
      <c r="B71" s="6"/>
      <c r="C71" s="213">
        <f>SUM(C68:C70)</f>
        <v>9375000</v>
      </c>
      <c r="D71" s="213">
        <f>SUM(D68:D70)</f>
        <v>3026000</v>
      </c>
    </row>
    <row r="72" spans="1:4" s="70" customFormat="1" ht="15.75">
      <c r="A72" s="183"/>
      <c r="B72" s="183" t="s">
        <v>698</v>
      </c>
      <c r="C72" s="536"/>
      <c r="D72" s="536"/>
    </row>
    <row r="73" spans="1:4" s="70" customFormat="1" ht="15.75">
      <c r="A73" s="12" t="s">
        <v>26</v>
      </c>
      <c r="B73" s="99" t="s">
        <v>27</v>
      </c>
      <c r="C73" s="432">
        <v>100000</v>
      </c>
      <c r="D73" s="710">
        <v>100000</v>
      </c>
    </row>
    <row r="74" spans="1:4" s="70" customFormat="1" ht="15.75">
      <c r="A74" s="12" t="s">
        <v>33</v>
      </c>
      <c r="B74" s="99" t="s">
        <v>34</v>
      </c>
      <c r="C74" s="432">
        <v>1000000</v>
      </c>
      <c r="D74" s="710">
        <v>500000</v>
      </c>
    </row>
    <row r="75" spans="1:4" s="70" customFormat="1" ht="15.75">
      <c r="A75" s="12" t="s">
        <v>36</v>
      </c>
      <c r="B75" s="99" t="s">
        <v>37</v>
      </c>
      <c r="C75" s="432">
        <v>2500000</v>
      </c>
      <c r="D75" s="710">
        <v>3000000</v>
      </c>
    </row>
    <row r="76" spans="1:4" s="70" customFormat="1" ht="15.75">
      <c r="A76" s="12" t="s">
        <v>38</v>
      </c>
      <c r="B76" s="99" t="s">
        <v>39</v>
      </c>
      <c r="C76" s="432">
        <v>2000000</v>
      </c>
      <c r="D76" s="710">
        <v>2150000</v>
      </c>
    </row>
    <row r="77" spans="1:4" s="70" customFormat="1" ht="15.75">
      <c r="A77" s="12" t="s">
        <v>51</v>
      </c>
      <c r="B77" s="99" t="s">
        <v>52</v>
      </c>
      <c r="C77" s="432">
        <v>1000000</v>
      </c>
      <c r="D77" s="710">
        <v>1000000</v>
      </c>
    </row>
    <row r="78" spans="1:4" s="70" customFormat="1" ht="15.75">
      <c r="A78" s="12">
        <v>2211306</v>
      </c>
      <c r="B78" s="99" t="s">
        <v>140</v>
      </c>
      <c r="C78" s="432">
        <v>2000000</v>
      </c>
      <c r="D78" s="710">
        <v>2100000</v>
      </c>
    </row>
    <row r="79" spans="1:4" s="70" customFormat="1" ht="15.75">
      <c r="A79" s="12" t="s">
        <v>57</v>
      </c>
      <c r="B79" s="99" t="s">
        <v>58</v>
      </c>
      <c r="C79" s="432">
        <v>500000</v>
      </c>
      <c r="D79" s="710">
        <v>1000000</v>
      </c>
    </row>
    <row r="80" spans="1:4" s="70" customFormat="1" ht="15.75">
      <c r="A80" s="12" t="s">
        <v>82</v>
      </c>
      <c r="B80" s="99" t="s">
        <v>83</v>
      </c>
      <c r="C80" s="432">
        <v>600000</v>
      </c>
      <c r="D80" s="710">
        <v>600000</v>
      </c>
    </row>
    <row r="81" spans="1:4" s="70" customFormat="1" ht="15.75">
      <c r="A81" s="12" t="s">
        <v>85</v>
      </c>
      <c r="B81" s="99" t="s">
        <v>86</v>
      </c>
      <c r="C81" s="432">
        <v>3000000</v>
      </c>
      <c r="D81" s="710">
        <v>2000000</v>
      </c>
    </row>
    <row r="82" spans="1:4" s="70" customFormat="1" ht="15.75">
      <c r="A82" s="12" t="s">
        <v>122</v>
      </c>
      <c r="B82" s="99" t="s">
        <v>123</v>
      </c>
      <c r="C82" s="432">
        <v>500000</v>
      </c>
      <c r="D82" s="710">
        <v>500000</v>
      </c>
    </row>
    <row r="83" spans="1:4" s="70" customFormat="1" ht="15.75">
      <c r="A83" s="12" t="s">
        <v>125</v>
      </c>
      <c r="B83" s="99" t="s">
        <v>126</v>
      </c>
      <c r="C83" s="432">
        <v>100000</v>
      </c>
      <c r="D83" s="710">
        <v>50000</v>
      </c>
    </row>
    <row r="84" spans="1:4" s="70" customFormat="1" ht="15.75">
      <c r="A84" s="140" t="s">
        <v>170</v>
      </c>
      <c r="B84" s="6"/>
      <c r="C84" s="213">
        <f>SUM(C73:C83)</f>
        <v>13300000</v>
      </c>
      <c r="D84" s="213">
        <f>SUM(D73:D83)</f>
        <v>13000000</v>
      </c>
    </row>
    <row r="85" spans="1:4" s="98" customFormat="1" ht="15.75">
      <c r="A85" s="12"/>
      <c r="B85" s="101" t="s">
        <v>151</v>
      </c>
      <c r="C85" s="105"/>
      <c r="D85" s="105"/>
    </row>
    <row r="86" spans="1:4" s="98" customFormat="1" ht="15.75">
      <c r="A86" s="12" t="s">
        <v>149</v>
      </c>
      <c r="B86" s="99" t="s">
        <v>150</v>
      </c>
      <c r="C86" s="105">
        <v>500000</v>
      </c>
      <c r="D86" s="710">
        <v>2350000</v>
      </c>
    </row>
    <row r="87" spans="1:4" s="98" customFormat="1" ht="15.75">
      <c r="A87" s="140" t="s">
        <v>170</v>
      </c>
      <c r="B87" s="6"/>
      <c r="C87" s="213">
        <f>SUM(C86)</f>
        <v>500000</v>
      </c>
      <c r="D87" s="213">
        <f>SUM(D86)</f>
        <v>2350000</v>
      </c>
    </row>
    <row r="88" spans="1:4" s="98" customFormat="1" ht="15.75">
      <c r="A88" s="12"/>
      <c r="B88" s="101" t="s">
        <v>154</v>
      </c>
      <c r="C88" s="105"/>
      <c r="D88" s="105"/>
    </row>
    <row r="89" spans="1:4" s="98" customFormat="1" ht="15.75">
      <c r="A89" s="12" t="s">
        <v>157</v>
      </c>
      <c r="B89" s="99" t="s">
        <v>158</v>
      </c>
      <c r="C89" s="105">
        <v>3989310</v>
      </c>
      <c r="D89" s="575">
        <v>3000000</v>
      </c>
    </row>
    <row r="90" spans="1:4" s="504" customFormat="1" ht="15.75">
      <c r="A90" s="506">
        <v>2220204</v>
      </c>
      <c r="B90" s="505" t="s">
        <v>1023</v>
      </c>
      <c r="C90" s="105">
        <v>271495</v>
      </c>
      <c r="D90" s="105"/>
    </row>
    <row r="91" spans="1:4" s="98" customFormat="1" ht="15.75">
      <c r="A91" s="140" t="s">
        <v>170</v>
      </c>
      <c r="B91" s="6"/>
      <c r="C91" s="213">
        <f>SUM(C89:C90)</f>
        <v>4260805</v>
      </c>
      <c r="D91" s="213">
        <f>SUM(D89:D90)</f>
        <v>3000000</v>
      </c>
    </row>
    <row r="92" spans="1:4" s="70" customFormat="1" ht="15.75">
      <c r="A92" s="140"/>
      <c r="B92" s="6" t="s">
        <v>768</v>
      </c>
      <c r="C92" s="213">
        <f>SUM(C91,C87,C84,C71,C66,C62,C57,C54,C47,C40,C34,C29,C24,C19)</f>
        <v>111896805</v>
      </c>
      <c r="D92" s="213">
        <f>SUM(D91,D87,D84,D71,D66,D62,D57,D54,D47,D40,D34,D29,D24,D19)</f>
        <v>66769077</v>
      </c>
    </row>
    <row r="93" spans="1:4" s="70" customFormat="1" ht="15.75">
      <c r="A93" s="140"/>
      <c r="B93" s="6" t="s">
        <v>687</v>
      </c>
      <c r="C93" s="213">
        <f>SUM(C92,C14)</f>
        <v>601610804</v>
      </c>
      <c r="D93" s="213">
        <f>SUM(D92,D14)</f>
        <v>576071634</v>
      </c>
    </row>
    <row r="94" spans="1:4" s="70" customFormat="1" ht="15.75">
      <c r="A94" s="183">
        <v>10302</v>
      </c>
      <c r="B94" s="183" t="s">
        <v>695</v>
      </c>
      <c r="C94" s="536"/>
      <c r="D94" s="536"/>
    </row>
    <row r="95" spans="1:4" s="70" customFormat="1" ht="15.75">
      <c r="A95" s="12" t="s">
        <v>26</v>
      </c>
      <c r="B95" s="99" t="s">
        <v>27</v>
      </c>
      <c r="C95" s="432">
        <v>200000</v>
      </c>
      <c r="D95" s="710">
        <v>200000</v>
      </c>
    </row>
    <row r="96" spans="1:4" s="70" customFormat="1" ht="15.75">
      <c r="A96" s="12" t="s">
        <v>33</v>
      </c>
      <c r="B96" s="99" t="s">
        <v>34</v>
      </c>
      <c r="C96" s="432">
        <v>200000</v>
      </c>
      <c r="D96" s="710">
        <v>500000</v>
      </c>
    </row>
    <row r="97" spans="1:4" s="70" customFormat="1" ht="15.75">
      <c r="A97" s="12" t="s">
        <v>38</v>
      </c>
      <c r="B97" s="99" t="s">
        <v>39</v>
      </c>
      <c r="C97" s="432">
        <v>2400000</v>
      </c>
      <c r="D97" s="710">
        <v>2400000</v>
      </c>
    </row>
    <row r="98" spans="1:5" s="70" customFormat="1" ht="15.75">
      <c r="A98" s="12">
        <v>2211016</v>
      </c>
      <c r="B98" s="99" t="s">
        <v>357</v>
      </c>
      <c r="C98" s="432">
        <v>9900000</v>
      </c>
      <c r="D98" s="710">
        <v>0</v>
      </c>
      <c r="E98" s="569" t="e">
        <f>#REF!+#REF!</f>
        <v>#REF!</v>
      </c>
    </row>
    <row r="99" spans="1:4" s="70" customFormat="1" ht="15.75">
      <c r="A99" s="12">
        <v>2210708</v>
      </c>
      <c r="B99" s="99" t="s">
        <v>356</v>
      </c>
      <c r="C99" s="432">
        <v>1500000</v>
      </c>
      <c r="D99" s="710">
        <v>4000000</v>
      </c>
    </row>
    <row r="100" spans="1:4" s="70" customFormat="1" ht="15.75">
      <c r="A100" s="12">
        <v>3111001</v>
      </c>
      <c r="B100" s="99" t="s">
        <v>200</v>
      </c>
      <c r="C100" s="432">
        <v>800000</v>
      </c>
      <c r="D100" s="710">
        <v>4200000</v>
      </c>
    </row>
    <row r="101" spans="1:4" s="70" customFormat="1" ht="15.75">
      <c r="A101" s="12">
        <v>2210603</v>
      </c>
      <c r="B101" s="99" t="s">
        <v>355</v>
      </c>
      <c r="C101" s="432">
        <v>3200000</v>
      </c>
      <c r="D101" s="710">
        <v>0</v>
      </c>
    </row>
    <row r="102" spans="1:4" s="70" customFormat="1" ht="15.75">
      <c r="A102" s="12" t="s">
        <v>75</v>
      </c>
      <c r="B102" s="99" t="s">
        <v>76</v>
      </c>
      <c r="C102" s="432">
        <v>1600000</v>
      </c>
      <c r="D102" s="710">
        <v>2000000</v>
      </c>
    </row>
    <row r="103" spans="1:4" s="70" customFormat="1" ht="15.75">
      <c r="A103" s="12" t="s">
        <v>85</v>
      </c>
      <c r="B103" s="99" t="s">
        <v>86</v>
      </c>
      <c r="C103" s="432">
        <v>400000</v>
      </c>
      <c r="D103" s="710">
        <v>400000</v>
      </c>
    </row>
    <row r="104" spans="1:4" s="70" customFormat="1" ht="15.75">
      <c r="A104" s="12" t="s">
        <v>122</v>
      </c>
      <c r="B104" s="99" t="s">
        <v>123</v>
      </c>
      <c r="C104" s="432">
        <v>400000</v>
      </c>
      <c r="D104" s="710">
        <v>800000</v>
      </c>
    </row>
    <row r="105" spans="1:4" s="70" customFormat="1" ht="15.75">
      <c r="A105" s="12" t="s">
        <v>127</v>
      </c>
      <c r="B105" s="99" t="s">
        <v>128</v>
      </c>
      <c r="C105" s="432">
        <v>200000</v>
      </c>
      <c r="D105" s="710">
        <v>200000</v>
      </c>
    </row>
    <row r="106" spans="1:4" s="70" customFormat="1" ht="15.75">
      <c r="A106" s="140"/>
      <c r="B106" s="6" t="s">
        <v>775</v>
      </c>
      <c r="C106" s="213">
        <f>SUM(C95:C105)</f>
        <v>20800000</v>
      </c>
      <c r="D106" s="213">
        <f>SUM(D95:D105)</f>
        <v>14700000</v>
      </c>
    </row>
    <row r="107" spans="1:4" s="70" customFormat="1" ht="15.75" hidden="1">
      <c r="A107" s="140">
        <v>3100000</v>
      </c>
      <c r="B107" s="6" t="s">
        <v>763</v>
      </c>
      <c r="C107" s="213"/>
      <c r="D107" s="213"/>
    </row>
    <row r="108" spans="1:4" s="70" customFormat="1" ht="15.75" hidden="1">
      <c r="A108" s="99" t="s">
        <v>498</v>
      </c>
      <c r="B108" s="152" t="s">
        <v>781</v>
      </c>
      <c r="C108" s="432">
        <v>15297286</v>
      </c>
      <c r="D108" s="719"/>
    </row>
    <row r="109" spans="1:4" s="70" customFormat="1" ht="15.75" hidden="1">
      <c r="A109" s="85">
        <v>3110202</v>
      </c>
      <c r="B109" s="56" t="s">
        <v>773</v>
      </c>
      <c r="C109" s="432">
        <v>6000000</v>
      </c>
      <c r="D109" s="719"/>
    </row>
    <row r="110" spans="1:4" s="70" customFormat="1" ht="15.75" hidden="1">
      <c r="A110" s="85">
        <v>3110202</v>
      </c>
      <c r="B110" s="56" t="s">
        <v>774</v>
      </c>
      <c r="C110" s="432">
        <v>10000000</v>
      </c>
      <c r="D110" s="719"/>
    </row>
    <row r="111" spans="1:4" s="70" customFormat="1" ht="15.75" hidden="1">
      <c r="A111" s="85">
        <v>3110202</v>
      </c>
      <c r="B111" s="56" t="s">
        <v>1001</v>
      </c>
      <c r="C111" s="432">
        <v>0</v>
      </c>
      <c r="D111" s="719"/>
    </row>
    <row r="112" spans="1:4" s="70" customFormat="1" ht="15.75" hidden="1">
      <c r="A112" s="85">
        <v>3110202</v>
      </c>
      <c r="B112" s="501" t="s">
        <v>1009</v>
      </c>
      <c r="C112" s="432">
        <v>2507569</v>
      </c>
      <c r="D112" s="719"/>
    </row>
    <row r="113" spans="1:4" s="70" customFormat="1" ht="31.5" hidden="1">
      <c r="A113" s="401">
        <v>3110202</v>
      </c>
      <c r="B113" s="501" t="s">
        <v>1010</v>
      </c>
      <c r="C113" s="432">
        <v>3880762</v>
      </c>
      <c r="D113" s="719"/>
    </row>
    <row r="114" spans="1:4" s="70" customFormat="1" ht="15.75" hidden="1">
      <c r="A114" s="85">
        <v>3110202</v>
      </c>
      <c r="B114" s="500" t="s">
        <v>1011</v>
      </c>
      <c r="C114" s="432">
        <v>375385</v>
      </c>
      <c r="D114" s="719"/>
    </row>
    <row r="115" spans="1:4" s="70" customFormat="1" ht="15.75" hidden="1">
      <c r="A115" s="85">
        <v>3110202</v>
      </c>
      <c r="B115" s="500" t="s">
        <v>1022</v>
      </c>
      <c r="C115" s="432">
        <v>527069</v>
      </c>
      <c r="D115" s="719"/>
    </row>
    <row r="116" spans="1:4" s="70" customFormat="1" ht="15.75" hidden="1">
      <c r="A116" s="85">
        <v>3110202</v>
      </c>
      <c r="B116" s="56" t="s">
        <v>515</v>
      </c>
      <c r="C116" s="432">
        <v>0</v>
      </c>
      <c r="D116" s="719"/>
    </row>
    <row r="117" spans="1:4" s="70" customFormat="1" ht="15.75" hidden="1">
      <c r="A117" s="85">
        <v>3110202</v>
      </c>
      <c r="B117" s="56" t="s">
        <v>780</v>
      </c>
      <c r="C117" s="432">
        <v>6357579</v>
      </c>
      <c r="D117" s="719"/>
    </row>
    <row r="118" spans="1:4" s="280" customFormat="1" ht="15.75" hidden="1">
      <c r="A118" s="140" t="s">
        <v>170</v>
      </c>
      <c r="B118" s="6" t="s">
        <v>779</v>
      </c>
      <c r="C118" s="213">
        <f>SUM(C108:C117)</f>
        <v>44945650</v>
      </c>
      <c r="D118" s="213">
        <f>SUM(D108:D117)</f>
        <v>0</v>
      </c>
    </row>
    <row r="119" spans="1:4" s="280" customFormat="1" ht="15.75">
      <c r="A119" s="140"/>
      <c r="B119" s="6" t="s">
        <v>776</v>
      </c>
      <c r="C119" s="213">
        <f>SUM(C118,C106)</f>
        <v>65745650</v>
      </c>
      <c r="D119" s="213">
        <f>SUM(D118,D106)</f>
        <v>14700000</v>
      </c>
    </row>
    <row r="120" spans="1:4" s="70" customFormat="1" ht="15.75">
      <c r="A120" s="183">
        <v>10303</v>
      </c>
      <c r="B120" s="183" t="s">
        <v>696</v>
      </c>
      <c r="C120" s="536"/>
      <c r="D120" s="536"/>
    </row>
    <row r="121" spans="1:4" s="70" customFormat="1" ht="15.75">
      <c r="A121" s="12" t="s">
        <v>33</v>
      </c>
      <c r="B121" s="99" t="s">
        <v>34</v>
      </c>
      <c r="C121" s="432">
        <v>200000</v>
      </c>
      <c r="D121" s="710">
        <v>200000</v>
      </c>
    </row>
    <row r="122" spans="1:4" s="70" customFormat="1" ht="15.75">
      <c r="A122" s="12" t="s">
        <v>36</v>
      </c>
      <c r="B122" s="99" t="s">
        <v>37</v>
      </c>
      <c r="C122" s="432">
        <v>2000000</v>
      </c>
      <c r="D122" s="710">
        <v>2000000</v>
      </c>
    </row>
    <row r="123" spans="1:4" s="70" customFormat="1" ht="15.75">
      <c r="A123" s="12" t="s">
        <v>38</v>
      </c>
      <c r="B123" s="99" t="s">
        <v>39</v>
      </c>
      <c r="C123" s="432">
        <v>2000000</v>
      </c>
      <c r="D123" s="710">
        <v>1500000</v>
      </c>
    </row>
    <row r="124" spans="1:4" s="70" customFormat="1" ht="15.75">
      <c r="A124" s="12" t="s">
        <v>26</v>
      </c>
      <c r="B124" s="99" t="s">
        <v>27</v>
      </c>
      <c r="C124" s="432">
        <v>160000</v>
      </c>
      <c r="D124" s="710">
        <v>200000</v>
      </c>
    </row>
    <row r="125" spans="1:4" s="70" customFormat="1" ht="15.75">
      <c r="A125" s="12" t="s">
        <v>66</v>
      </c>
      <c r="B125" s="99" t="s">
        <v>67</v>
      </c>
      <c r="C125" s="432">
        <v>200000</v>
      </c>
      <c r="D125" s="710">
        <v>200000</v>
      </c>
    </row>
    <row r="126" spans="1:4" s="70" customFormat="1" ht="15.75">
      <c r="A126" s="12" t="s">
        <v>69</v>
      </c>
      <c r="B126" s="99" t="s">
        <v>70</v>
      </c>
      <c r="C126" s="432">
        <v>500000</v>
      </c>
      <c r="D126" s="719"/>
    </row>
    <row r="127" spans="1:4" s="70" customFormat="1" ht="15.75">
      <c r="A127" s="12">
        <v>2210712</v>
      </c>
      <c r="B127" s="99" t="s">
        <v>352</v>
      </c>
      <c r="C127" s="432">
        <v>400000</v>
      </c>
      <c r="D127" s="710">
        <v>1000000</v>
      </c>
    </row>
    <row r="128" spans="1:4" s="70" customFormat="1" ht="15.75">
      <c r="A128" s="12">
        <v>2210502</v>
      </c>
      <c r="B128" s="99" t="s">
        <v>388</v>
      </c>
      <c r="C128" s="432">
        <v>500000</v>
      </c>
      <c r="D128" s="719"/>
    </row>
    <row r="129" spans="1:4" s="70" customFormat="1" ht="15.75">
      <c r="A129" s="506"/>
      <c r="B129" s="505" t="s">
        <v>1087</v>
      </c>
      <c r="C129" s="719"/>
      <c r="D129" s="710">
        <v>900000</v>
      </c>
    </row>
    <row r="130" spans="1:4" s="70" customFormat="1" ht="15.75">
      <c r="A130" s="506"/>
      <c r="B130" s="505" t="s">
        <v>1088</v>
      </c>
      <c r="C130" s="719"/>
      <c r="D130" s="710">
        <v>1000000</v>
      </c>
    </row>
    <row r="131" spans="1:4" s="70" customFormat="1" ht="15.75">
      <c r="A131" s="12" t="s">
        <v>122</v>
      </c>
      <c r="B131" s="99" t="s">
        <v>123</v>
      </c>
      <c r="C131" s="432">
        <v>1000000</v>
      </c>
      <c r="D131" s="710">
        <v>1000000</v>
      </c>
    </row>
    <row r="132" spans="1:4" s="70" customFormat="1" ht="15.75">
      <c r="A132" s="12">
        <v>2210704</v>
      </c>
      <c r="B132" s="99" t="s">
        <v>74</v>
      </c>
      <c r="C132" s="432">
        <v>500000</v>
      </c>
      <c r="D132" s="719"/>
    </row>
    <row r="133" spans="1:4" s="70" customFormat="1" ht="15.75">
      <c r="A133" s="12" t="s">
        <v>75</v>
      </c>
      <c r="B133" s="99" t="s">
        <v>76</v>
      </c>
      <c r="C133" s="432">
        <v>1600000</v>
      </c>
      <c r="D133" s="719"/>
    </row>
    <row r="134" spans="1:4" s="70" customFormat="1" ht="15.75">
      <c r="A134" s="12" t="s">
        <v>77</v>
      </c>
      <c r="B134" s="99" t="s">
        <v>78</v>
      </c>
      <c r="C134" s="432">
        <v>1000000</v>
      </c>
      <c r="D134" s="719"/>
    </row>
    <row r="135" spans="1:4" s="70" customFormat="1" ht="15.75">
      <c r="A135" s="506"/>
      <c r="B135" s="505" t="s">
        <v>81</v>
      </c>
      <c r="C135" s="719"/>
      <c r="D135" s="710">
        <v>2000000</v>
      </c>
    </row>
    <row r="136" spans="1:4" s="70" customFormat="1" ht="15.75">
      <c r="A136" s="140"/>
      <c r="B136" s="6" t="s">
        <v>770</v>
      </c>
      <c r="C136" s="213">
        <f>SUM(C121:C134)</f>
        <v>10060000</v>
      </c>
      <c r="D136" s="213">
        <f>SUM(D121:D134)</f>
        <v>8000000</v>
      </c>
    </row>
    <row r="137" spans="1:4" s="70" customFormat="1" ht="15.75">
      <c r="A137" s="183">
        <v>10304</v>
      </c>
      <c r="B137" s="183" t="s">
        <v>697</v>
      </c>
      <c r="C137" s="536"/>
      <c r="D137" s="536"/>
    </row>
    <row r="138" spans="1:4" s="70" customFormat="1" ht="15.75">
      <c r="A138" s="506" t="s">
        <v>26</v>
      </c>
      <c r="B138" s="505" t="s">
        <v>27</v>
      </c>
      <c r="C138" s="536"/>
      <c r="D138" s="710">
        <v>200000</v>
      </c>
    </row>
    <row r="139" spans="1:4" s="70" customFormat="1" ht="15.75">
      <c r="A139" s="183"/>
      <c r="B139" s="184" t="s">
        <v>1089</v>
      </c>
      <c r="C139" s="536"/>
      <c r="D139" s="719">
        <v>100000</v>
      </c>
    </row>
    <row r="140" spans="1:4" s="70" customFormat="1" ht="15.75">
      <c r="A140" s="12">
        <v>3111004</v>
      </c>
      <c r="B140" s="99" t="s">
        <v>353</v>
      </c>
      <c r="C140" s="432">
        <v>1000000</v>
      </c>
      <c r="D140" s="710">
        <v>500000</v>
      </c>
    </row>
    <row r="141" spans="1:4" s="70" customFormat="1" ht="15.75">
      <c r="A141" s="12">
        <v>2210708</v>
      </c>
      <c r="B141" s="99" t="s">
        <v>354</v>
      </c>
      <c r="C141" s="432">
        <v>1700000</v>
      </c>
      <c r="D141" s="710">
        <v>2400000</v>
      </c>
    </row>
    <row r="142" spans="1:4" s="70" customFormat="1" ht="15.75">
      <c r="A142" s="12">
        <v>2211016</v>
      </c>
      <c r="B142" s="99" t="s">
        <v>117</v>
      </c>
      <c r="C142" s="432">
        <v>2800000</v>
      </c>
      <c r="D142" s="710">
        <v>7000000</v>
      </c>
    </row>
    <row r="143" spans="1:4" s="70" customFormat="1" ht="15.75">
      <c r="A143" s="12" t="s">
        <v>33</v>
      </c>
      <c r="B143" s="99" t="s">
        <v>34</v>
      </c>
      <c r="C143" s="432">
        <v>500000</v>
      </c>
      <c r="D143" s="719"/>
    </row>
    <row r="144" spans="1:4" s="70" customFormat="1" ht="15.75">
      <c r="A144" s="12" t="s">
        <v>36</v>
      </c>
      <c r="B144" s="99" t="s">
        <v>37</v>
      </c>
      <c r="C144" s="432">
        <v>1000000</v>
      </c>
      <c r="D144" s="710">
        <v>1000000</v>
      </c>
    </row>
    <row r="145" spans="1:4" s="70" customFormat="1" ht="15.75">
      <c r="A145" s="12" t="s">
        <v>38</v>
      </c>
      <c r="B145" s="99" t="s">
        <v>39</v>
      </c>
      <c r="C145" s="432">
        <v>1800000</v>
      </c>
      <c r="D145" s="710">
        <v>1000000</v>
      </c>
    </row>
    <row r="146" spans="1:4" s="70" customFormat="1" ht="15.75">
      <c r="A146" s="12">
        <v>3110701</v>
      </c>
      <c r="B146" s="99" t="s">
        <v>348</v>
      </c>
      <c r="C146" s="432">
        <v>4000000</v>
      </c>
      <c r="D146" s="719"/>
    </row>
    <row r="147" spans="1:4" s="70" customFormat="1" ht="15.75">
      <c r="A147" s="12" t="s">
        <v>149</v>
      </c>
      <c r="B147" s="99" t="s">
        <v>150</v>
      </c>
      <c r="C147" s="432">
        <v>500000</v>
      </c>
      <c r="D147" s="710">
        <v>600000</v>
      </c>
    </row>
    <row r="148" spans="1:4" s="70" customFormat="1" ht="15.75">
      <c r="A148" s="140"/>
      <c r="B148" s="6" t="s">
        <v>769</v>
      </c>
      <c r="C148" s="213">
        <f>SUM(C138:C147)</f>
        <v>13300000</v>
      </c>
      <c r="D148" s="213">
        <f>SUM(D138:D147)</f>
        <v>12800000</v>
      </c>
    </row>
    <row r="149" spans="1:4" ht="15.75">
      <c r="A149" s="140"/>
      <c r="B149" s="140" t="s">
        <v>785</v>
      </c>
      <c r="C149" s="213">
        <f>SUM(C148,C136,C106,C92)</f>
        <v>156056805</v>
      </c>
      <c r="D149" s="213">
        <f>SUM(D148,D136,D106,D92)</f>
        <v>102269077</v>
      </c>
    </row>
    <row r="150" spans="1:4" ht="15.75">
      <c r="A150" s="140"/>
      <c r="B150" s="140" t="s">
        <v>784</v>
      </c>
      <c r="C150" s="213">
        <f>SUM(C149,C14)</f>
        <v>645770804</v>
      </c>
      <c r="D150" s="213">
        <f>SUM(D149,D14)</f>
        <v>611571634</v>
      </c>
    </row>
    <row r="151" spans="1:4" s="98" customFormat="1" ht="15.75">
      <c r="A151" s="140"/>
      <c r="B151" s="140" t="s">
        <v>783</v>
      </c>
      <c r="C151" s="213">
        <f>SUM(C118,)</f>
        <v>44945650</v>
      </c>
      <c r="D151" s="213">
        <f>SUM(D118,)</f>
        <v>0</v>
      </c>
    </row>
    <row r="152" spans="1:4" ht="15.75">
      <c r="A152" s="140"/>
      <c r="B152" s="6" t="s">
        <v>782</v>
      </c>
      <c r="C152" s="213">
        <f>SUM(C150,C151)</f>
        <v>690716454</v>
      </c>
      <c r="D152" s="213">
        <f>SUM(D150,D151)</f>
        <v>611571634</v>
      </c>
    </row>
    <row r="153" ht="15.75">
      <c r="C153" s="9">
        <v>49758809</v>
      </c>
    </row>
    <row r="154" spans="3:4" ht="15.75">
      <c r="C154" s="540">
        <v>695529613</v>
      </c>
      <c r="D154" s="540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96"/>
  <sheetViews>
    <sheetView view="pageBreakPreview" zoomScale="130" zoomScaleSheetLayoutView="130" zoomScalePageLayoutView="0" workbookViewId="0" topLeftCell="A1">
      <pane ySplit="1" topLeftCell="A17" activePane="bottomLeft" state="frozen"/>
      <selection pane="topLeft" activeCell="E12" sqref="E12"/>
      <selection pane="bottomLeft" activeCell="A88" sqref="A88:IV91"/>
    </sheetView>
  </sheetViews>
  <sheetFormatPr defaultColWidth="9.140625" defaultRowHeight="15"/>
  <cols>
    <col min="1" max="1" width="10.28125" style="181" customWidth="1"/>
    <col min="2" max="2" width="78.7109375" style="0" customWidth="1"/>
    <col min="3" max="4" width="16.28125" style="9" customWidth="1"/>
  </cols>
  <sheetData>
    <row r="1" spans="1:4" ht="72" customHeight="1">
      <c r="A1" s="904" t="s">
        <v>168</v>
      </c>
      <c r="B1" s="923"/>
      <c r="C1" s="393" t="s">
        <v>1066</v>
      </c>
      <c r="D1" s="393" t="s">
        <v>1068</v>
      </c>
    </row>
    <row r="2" spans="1:4" s="98" customFormat="1" ht="15.75">
      <c r="A2" s="200">
        <v>104</v>
      </c>
      <c r="B2" s="200" t="s">
        <v>1002</v>
      </c>
      <c r="C2" s="105"/>
      <c r="D2" s="105"/>
    </row>
    <row r="3" spans="1:4" s="98" customFormat="1" ht="15.75">
      <c r="A3" s="200">
        <v>10401</v>
      </c>
      <c r="B3" s="200" t="s">
        <v>699</v>
      </c>
      <c r="C3" s="105"/>
      <c r="D3" s="105"/>
    </row>
    <row r="4" spans="1:4" s="98" customFormat="1" ht="15.75">
      <c r="A4" s="202">
        <v>2200000</v>
      </c>
      <c r="B4" s="64" t="s">
        <v>679</v>
      </c>
      <c r="C4" s="105"/>
      <c r="D4" s="105"/>
    </row>
    <row r="5" spans="1:4" ht="15.75">
      <c r="A5" s="12"/>
      <c r="B5" s="101" t="s">
        <v>21</v>
      </c>
      <c r="C5" s="105"/>
      <c r="D5" s="105"/>
    </row>
    <row r="6" spans="1:4" ht="15.75">
      <c r="A6" s="12" t="s">
        <v>19</v>
      </c>
      <c r="B6" s="4" t="s">
        <v>20</v>
      </c>
      <c r="C6" s="105">
        <v>0</v>
      </c>
      <c r="D6" s="105">
        <v>100000</v>
      </c>
    </row>
    <row r="7" spans="1:4" ht="15.75">
      <c r="A7" s="12" t="s">
        <v>22</v>
      </c>
      <c r="B7" s="4" t="s">
        <v>23</v>
      </c>
      <c r="C7" s="105">
        <v>0</v>
      </c>
      <c r="D7" s="105">
        <v>50000</v>
      </c>
    </row>
    <row r="8" spans="1:4" ht="15.75">
      <c r="A8" s="140" t="s">
        <v>170</v>
      </c>
      <c r="B8" s="6"/>
      <c r="C8" s="92">
        <f>SUM(C6:C7)</f>
        <v>0</v>
      </c>
      <c r="D8" s="92">
        <f>SUM(D6:D7)</f>
        <v>150000</v>
      </c>
    </row>
    <row r="9" spans="1:4" ht="15.75">
      <c r="A9" s="12"/>
      <c r="B9" s="101" t="s">
        <v>28</v>
      </c>
      <c r="C9" s="105"/>
      <c r="D9" s="105"/>
    </row>
    <row r="10" spans="1:4" ht="15.75">
      <c r="A10" s="12" t="s">
        <v>26</v>
      </c>
      <c r="B10" s="4" t="s">
        <v>27</v>
      </c>
      <c r="C10" s="105">
        <v>20000</v>
      </c>
      <c r="D10" s="105">
        <v>100000</v>
      </c>
    </row>
    <row r="11" spans="1:4" ht="15.75">
      <c r="A11" s="12" t="s">
        <v>31</v>
      </c>
      <c r="B11" s="4" t="s">
        <v>32</v>
      </c>
      <c r="C11" s="105">
        <v>8000</v>
      </c>
      <c r="D11" s="105">
        <v>10000</v>
      </c>
    </row>
    <row r="12" spans="1:4" ht="15.75">
      <c r="A12" s="140" t="s">
        <v>170</v>
      </c>
      <c r="B12" s="6"/>
      <c r="C12" s="92">
        <f>SUM(C10:C11)</f>
        <v>28000</v>
      </c>
      <c r="D12" s="92">
        <f>SUM(D10:D11)</f>
        <v>110000</v>
      </c>
    </row>
    <row r="13" spans="1:4" ht="15.75">
      <c r="A13" s="12"/>
      <c r="B13" s="101" t="s">
        <v>35</v>
      </c>
      <c r="C13" s="105"/>
      <c r="D13" s="105"/>
    </row>
    <row r="14" spans="1:4" ht="15.75">
      <c r="A14" s="12" t="s">
        <v>33</v>
      </c>
      <c r="B14" s="4" t="s">
        <v>34</v>
      </c>
      <c r="C14" s="105">
        <v>1000000</v>
      </c>
      <c r="D14" s="105">
        <v>1000000</v>
      </c>
    </row>
    <row r="15" spans="1:4" ht="15.75">
      <c r="A15" s="12" t="s">
        <v>36</v>
      </c>
      <c r="B15" s="4" t="s">
        <v>37</v>
      </c>
      <c r="C15" s="105">
        <v>3000000</v>
      </c>
      <c r="D15" s="105">
        <v>3000000</v>
      </c>
    </row>
    <row r="16" spans="1:4" ht="15.75">
      <c r="A16" s="12" t="s">
        <v>38</v>
      </c>
      <c r="B16" s="4" t="s">
        <v>39</v>
      </c>
      <c r="C16" s="105">
        <v>2500000</v>
      </c>
      <c r="D16" s="105">
        <v>2500000</v>
      </c>
    </row>
    <row r="17" spans="1:4" ht="15.75">
      <c r="A17" s="140" t="s">
        <v>170</v>
      </c>
      <c r="B17" s="6"/>
      <c r="C17" s="92">
        <f>SUM(C14:C16)</f>
        <v>6500000</v>
      </c>
      <c r="D17" s="92">
        <f>SUM(D14:D16)</f>
        <v>6500000</v>
      </c>
    </row>
    <row r="18" spans="1:4" ht="15.75">
      <c r="A18" s="12"/>
      <c r="B18" s="101" t="s">
        <v>44</v>
      </c>
      <c r="C18" s="105"/>
      <c r="D18" s="105"/>
    </row>
    <row r="19" spans="1:4" ht="15.75">
      <c r="A19" s="12" t="s">
        <v>42</v>
      </c>
      <c r="B19" s="4" t="s">
        <v>43</v>
      </c>
      <c r="C19" s="105">
        <v>200000</v>
      </c>
      <c r="D19" s="105">
        <v>500000</v>
      </c>
    </row>
    <row r="20" spans="1:4" ht="15.75">
      <c r="A20" s="12" t="s">
        <v>45</v>
      </c>
      <c r="B20" s="4" t="s">
        <v>46</v>
      </c>
      <c r="C20" s="105">
        <v>300000</v>
      </c>
      <c r="D20" s="105">
        <v>200000</v>
      </c>
    </row>
    <row r="21" spans="1:4" ht="15.75">
      <c r="A21" s="12" t="s">
        <v>47</v>
      </c>
      <c r="B21" s="4" t="s">
        <v>39</v>
      </c>
      <c r="C21" s="105">
        <v>300000</v>
      </c>
      <c r="D21" s="105">
        <v>800000</v>
      </c>
    </row>
    <row r="22" spans="1:4" ht="15.75">
      <c r="A22" s="140" t="s">
        <v>170</v>
      </c>
      <c r="B22" s="6"/>
      <c r="C22" s="92">
        <f>SUM(C19:C21)</f>
        <v>800000</v>
      </c>
      <c r="D22" s="92">
        <f>SUM(D19:D21)</f>
        <v>1500000</v>
      </c>
    </row>
    <row r="23" spans="1:4" ht="15.75">
      <c r="A23" s="12"/>
      <c r="B23" s="101" t="s">
        <v>50</v>
      </c>
      <c r="C23" s="105"/>
      <c r="D23" s="105"/>
    </row>
    <row r="24" spans="1:4" ht="15.75">
      <c r="A24" s="12" t="s">
        <v>51</v>
      </c>
      <c r="B24" s="4" t="s">
        <v>52</v>
      </c>
      <c r="C24" s="105">
        <v>100000</v>
      </c>
      <c r="D24" s="105">
        <v>100000</v>
      </c>
    </row>
    <row r="25" spans="1:4" ht="15.75">
      <c r="A25" s="12" t="s">
        <v>53</v>
      </c>
      <c r="B25" s="4" t="s">
        <v>54</v>
      </c>
      <c r="C25" s="105">
        <v>10000</v>
      </c>
      <c r="D25" s="105">
        <v>100000</v>
      </c>
    </row>
    <row r="26" spans="1:4" ht="15.75">
      <c r="A26" s="12" t="s">
        <v>55</v>
      </c>
      <c r="B26" s="4" t="s">
        <v>56</v>
      </c>
      <c r="C26" s="105">
        <v>1500000</v>
      </c>
      <c r="D26" s="105">
        <v>1000000</v>
      </c>
    </row>
    <row r="27" spans="1:4" ht="15.75">
      <c r="A27" s="12" t="s">
        <v>57</v>
      </c>
      <c r="B27" s="4" t="s">
        <v>58</v>
      </c>
      <c r="C27" s="105">
        <v>400000</v>
      </c>
      <c r="D27" s="105">
        <v>400000</v>
      </c>
    </row>
    <row r="28" spans="1:4" ht="15.75">
      <c r="A28" s="140" t="s">
        <v>170</v>
      </c>
      <c r="B28" s="6"/>
      <c r="C28" s="92">
        <f>SUM(C24:C27)</f>
        <v>2010000</v>
      </c>
      <c r="D28" s="92">
        <f>SUM(D24:D27)</f>
        <v>1600000</v>
      </c>
    </row>
    <row r="29" spans="1:4" ht="15.75">
      <c r="A29" s="12"/>
      <c r="B29" s="101" t="s">
        <v>84</v>
      </c>
      <c r="C29" s="105"/>
      <c r="D29" s="105"/>
    </row>
    <row r="30" spans="1:4" ht="15.75">
      <c r="A30" s="12" t="s">
        <v>82</v>
      </c>
      <c r="B30" s="4" t="s">
        <v>83</v>
      </c>
      <c r="C30" s="105">
        <v>470809</v>
      </c>
      <c r="D30" s="105">
        <v>1000000</v>
      </c>
    </row>
    <row r="31" spans="1:4" s="504" customFormat="1" ht="15.75">
      <c r="A31" s="506">
        <v>2210712</v>
      </c>
      <c r="B31" s="505" t="s">
        <v>352</v>
      </c>
      <c r="C31" s="105">
        <v>1500000</v>
      </c>
      <c r="D31" s="105">
        <v>0</v>
      </c>
    </row>
    <row r="32" spans="1:4" ht="15.75">
      <c r="A32" s="140" t="s">
        <v>170</v>
      </c>
      <c r="B32" s="6"/>
      <c r="C32" s="92">
        <f>SUM(C30:C31)</f>
        <v>1970809</v>
      </c>
      <c r="D32" s="92">
        <f>SUM(D30:D31)</f>
        <v>1000000</v>
      </c>
    </row>
    <row r="33" spans="1:4" ht="15.75">
      <c r="A33" s="12"/>
      <c r="B33" s="101" t="s">
        <v>124</v>
      </c>
      <c r="C33" s="105"/>
      <c r="D33" s="105"/>
    </row>
    <row r="34" spans="1:4" ht="15.75">
      <c r="A34" s="12" t="s">
        <v>122</v>
      </c>
      <c r="B34" s="4" t="s">
        <v>123</v>
      </c>
      <c r="C34" s="105">
        <v>650000</v>
      </c>
      <c r="D34" s="105">
        <v>800000</v>
      </c>
    </row>
    <row r="35" spans="1:4" s="403" customFormat="1" ht="15.75">
      <c r="A35" s="12"/>
      <c r="B35" s="99" t="s">
        <v>1006</v>
      </c>
      <c r="C35" s="105">
        <v>1000000</v>
      </c>
      <c r="D35" s="105"/>
    </row>
    <row r="36" spans="1:4" ht="18" customHeight="1">
      <c r="A36" s="12" t="s">
        <v>125</v>
      </c>
      <c r="B36" s="4" t="s">
        <v>126</v>
      </c>
      <c r="C36" s="105">
        <v>50000</v>
      </c>
      <c r="D36" s="105">
        <v>100000</v>
      </c>
    </row>
    <row r="37" spans="1:4" ht="15.75">
      <c r="A37" s="12" t="s">
        <v>127</v>
      </c>
      <c r="B37" s="4" t="s">
        <v>128</v>
      </c>
      <c r="C37" s="105">
        <v>100000</v>
      </c>
      <c r="D37" s="105">
        <v>200000</v>
      </c>
    </row>
    <row r="38" spans="1:4" ht="15.75">
      <c r="A38" s="140" t="s">
        <v>170</v>
      </c>
      <c r="B38" s="6"/>
      <c r="C38" s="92">
        <f>SUM(C34:C37)</f>
        <v>1800000</v>
      </c>
      <c r="D38" s="92">
        <f>SUM(D34:D37)</f>
        <v>1100000</v>
      </c>
    </row>
    <row r="39" spans="1:4" ht="15.75">
      <c r="A39" s="12"/>
      <c r="B39" s="101" t="s">
        <v>131</v>
      </c>
      <c r="C39" s="105"/>
      <c r="D39" s="105"/>
    </row>
    <row r="40" spans="1:4" ht="15.75">
      <c r="A40" s="12" t="s">
        <v>129</v>
      </c>
      <c r="B40" s="4" t="s">
        <v>130</v>
      </c>
      <c r="C40" s="105">
        <v>1000000</v>
      </c>
      <c r="D40" s="105">
        <v>1000000</v>
      </c>
    </row>
    <row r="41" spans="1:4" ht="15.75">
      <c r="A41" s="12" t="s">
        <v>132</v>
      </c>
      <c r="B41" s="4" t="s">
        <v>133</v>
      </c>
      <c r="C41" s="105">
        <v>100000</v>
      </c>
      <c r="D41" s="105">
        <v>100000</v>
      </c>
    </row>
    <row r="42" spans="1:4" ht="15.75">
      <c r="A42" s="140" t="s">
        <v>170</v>
      </c>
      <c r="B42" s="6"/>
      <c r="C42" s="92">
        <f>SUM(C40:C41)</f>
        <v>1100000</v>
      </c>
      <c r="D42" s="92">
        <f>SUM(D40:D41)</f>
        <v>1100000</v>
      </c>
    </row>
    <row r="43" spans="1:4" ht="15.75">
      <c r="A43" s="12"/>
      <c r="B43" s="101" t="s">
        <v>136</v>
      </c>
      <c r="C43" s="105"/>
      <c r="D43" s="105"/>
    </row>
    <row r="44" spans="1:4" ht="15.75">
      <c r="A44" s="12" t="s">
        <v>137</v>
      </c>
      <c r="B44" s="4" t="s">
        <v>138</v>
      </c>
      <c r="C44" s="105">
        <v>0</v>
      </c>
      <c r="D44" s="105"/>
    </row>
    <row r="45" spans="1:4" s="504" customFormat="1" ht="15.75">
      <c r="A45" s="505" t="s">
        <v>139</v>
      </c>
      <c r="B45" s="505" t="s">
        <v>140</v>
      </c>
      <c r="C45" s="100"/>
      <c r="D45" s="100">
        <v>1250000</v>
      </c>
    </row>
    <row r="46" spans="1:4" s="403" customFormat="1" ht="15.75">
      <c r="A46" s="12"/>
      <c r="B46" s="99" t="s">
        <v>200</v>
      </c>
      <c r="C46" s="105">
        <v>1000000</v>
      </c>
      <c r="D46" s="105"/>
    </row>
    <row r="47" spans="1:4" ht="15.75">
      <c r="A47" s="12" t="s">
        <v>143</v>
      </c>
      <c r="B47" s="4" t="s">
        <v>144</v>
      </c>
      <c r="C47" s="105">
        <v>4000000</v>
      </c>
      <c r="D47" s="105">
        <v>1000000</v>
      </c>
    </row>
    <row r="48" spans="1:4" s="15" customFormat="1" ht="15.75">
      <c r="A48" s="140" t="s">
        <v>170</v>
      </c>
      <c r="B48" s="6"/>
      <c r="C48" s="92">
        <f>SUM(C44:C47)</f>
        <v>5000000</v>
      </c>
      <c r="D48" s="92">
        <f>SUM(D44:D47)</f>
        <v>2250000</v>
      </c>
    </row>
    <row r="49" spans="1:4" s="98" customFormat="1" ht="15.75">
      <c r="A49" s="12"/>
      <c r="B49" s="101" t="s">
        <v>151</v>
      </c>
      <c r="C49" s="105"/>
      <c r="D49" s="105"/>
    </row>
    <row r="50" spans="1:4" s="98" customFormat="1" ht="15.75">
      <c r="A50" s="12" t="s">
        <v>149</v>
      </c>
      <c r="B50" s="99" t="s">
        <v>150</v>
      </c>
      <c r="C50" s="105">
        <v>1000000</v>
      </c>
      <c r="D50" s="105">
        <v>1000000</v>
      </c>
    </row>
    <row r="51" spans="1:4" s="98" customFormat="1" ht="15.75">
      <c r="A51" s="140" t="s">
        <v>170</v>
      </c>
      <c r="B51" s="6"/>
      <c r="C51" s="92">
        <f>SUM(C50)</f>
        <v>1000000</v>
      </c>
      <c r="D51" s="92">
        <f>SUM(D50)</f>
        <v>1000000</v>
      </c>
    </row>
    <row r="52" spans="1:4" s="98" customFormat="1" ht="15.75">
      <c r="A52" s="12"/>
      <c r="B52" s="101" t="s">
        <v>154</v>
      </c>
      <c r="C52" s="105"/>
      <c r="D52" s="105"/>
    </row>
    <row r="53" spans="1:4" s="98" customFormat="1" ht="15.75">
      <c r="A53" s="12" t="s">
        <v>157</v>
      </c>
      <c r="B53" s="99" t="s">
        <v>158</v>
      </c>
      <c r="C53" s="105">
        <v>3600000</v>
      </c>
      <c r="D53" s="105">
        <v>0</v>
      </c>
    </row>
    <row r="54" spans="1:4" s="98" customFormat="1" ht="15.75">
      <c r="A54" s="140" t="s">
        <v>170</v>
      </c>
      <c r="B54" s="6"/>
      <c r="C54" s="92">
        <f>SUM(C53)</f>
        <v>3600000</v>
      </c>
      <c r="D54" s="92">
        <f>SUM(D53)</f>
        <v>0</v>
      </c>
    </row>
    <row r="55" spans="1:4" s="70" customFormat="1" ht="15.75">
      <c r="A55" s="140"/>
      <c r="B55" s="6" t="s">
        <v>702</v>
      </c>
      <c r="C55" s="92">
        <f>SUM(C54,C51,C48,C42,C38,C32,C28,C22,C17,C12,C8)</f>
        <v>23808809</v>
      </c>
      <c r="D55" s="92">
        <f>SUM(D54,D51,D48,D42,D38,D32,D28,D22,D17,D12,D8)</f>
        <v>16310000</v>
      </c>
    </row>
    <row r="56" spans="1:4" s="15" customFormat="1" ht="15.75">
      <c r="A56" s="182">
        <v>10402</v>
      </c>
      <c r="B56" s="182" t="s">
        <v>700</v>
      </c>
      <c r="C56" s="535"/>
      <c r="D56" s="535"/>
    </row>
    <row r="57" spans="1:4" s="15" customFormat="1" ht="15.75">
      <c r="A57" s="12" t="s">
        <v>26</v>
      </c>
      <c r="B57" s="4" t="s">
        <v>27</v>
      </c>
      <c r="C57" s="541">
        <v>50000</v>
      </c>
      <c r="D57" s="798">
        <v>100000</v>
      </c>
    </row>
    <row r="58" spans="1:4" s="15" customFormat="1" ht="15.75">
      <c r="A58" s="12" t="s">
        <v>33</v>
      </c>
      <c r="B58" s="4" t="s">
        <v>34</v>
      </c>
      <c r="C58" s="541">
        <v>200000</v>
      </c>
      <c r="D58" s="798">
        <v>200000</v>
      </c>
    </row>
    <row r="59" spans="1:4" s="15" customFormat="1" ht="15.75">
      <c r="A59" s="12" t="s">
        <v>36</v>
      </c>
      <c r="B59" s="4" t="s">
        <v>37</v>
      </c>
      <c r="C59" s="541">
        <v>3000000</v>
      </c>
      <c r="D59" s="798">
        <v>3000000</v>
      </c>
    </row>
    <row r="60" spans="1:4" s="15" customFormat="1" ht="15.75">
      <c r="A60" s="12" t="s">
        <v>38</v>
      </c>
      <c r="B60" s="4" t="s">
        <v>39</v>
      </c>
      <c r="C60" s="541">
        <v>2000000</v>
      </c>
      <c r="D60" s="798">
        <v>1500000</v>
      </c>
    </row>
    <row r="61" spans="1:4" s="15" customFormat="1" ht="15.75">
      <c r="A61" s="12" t="s">
        <v>51</v>
      </c>
      <c r="B61" s="4" t="s">
        <v>52</v>
      </c>
      <c r="C61" s="541">
        <v>450000</v>
      </c>
      <c r="D61" s="798">
        <v>500000</v>
      </c>
    </row>
    <row r="62" spans="1:4" s="15" customFormat="1" ht="15.75">
      <c r="A62" s="12" t="s">
        <v>55</v>
      </c>
      <c r="B62" s="99" t="s">
        <v>56</v>
      </c>
      <c r="C62" s="541">
        <v>3200000</v>
      </c>
      <c r="D62" s="798">
        <v>1500000</v>
      </c>
    </row>
    <row r="63" spans="1:4" s="93" customFormat="1" ht="15.75">
      <c r="A63" s="12">
        <v>2210712</v>
      </c>
      <c r="B63" s="4" t="s">
        <v>79</v>
      </c>
      <c r="C63" s="541">
        <v>2000000</v>
      </c>
      <c r="D63" s="798">
        <v>1000000</v>
      </c>
    </row>
    <row r="64" spans="1:4" s="15" customFormat="1" ht="15.75">
      <c r="A64" s="12" t="s">
        <v>85</v>
      </c>
      <c r="B64" s="4" t="s">
        <v>86</v>
      </c>
      <c r="C64" s="541">
        <v>1500000</v>
      </c>
      <c r="D64" s="798">
        <v>1500000</v>
      </c>
    </row>
    <row r="65" spans="1:4" s="15" customFormat="1" ht="15.75">
      <c r="A65" s="12" t="s">
        <v>122</v>
      </c>
      <c r="B65" s="4" t="s">
        <v>123</v>
      </c>
      <c r="C65" s="541">
        <v>550000</v>
      </c>
      <c r="D65" s="798">
        <v>575000</v>
      </c>
    </row>
    <row r="66" spans="1:4" s="15" customFormat="1" ht="15.75">
      <c r="A66" s="506">
        <v>3111009</v>
      </c>
      <c r="B66" s="505" t="s">
        <v>1021</v>
      </c>
      <c r="C66" s="541">
        <v>870000</v>
      </c>
      <c r="D66" s="541"/>
    </row>
    <row r="67" spans="1:4" s="15" customFormat="1" ht="15.75">
      <c r="A67" s="506"/>
      <c r="B67" s="505" t="s">
        <v>1090</v>
      </c>
      <c r="C67" s="541"/>
      <c r="D67" s="798">
        <v>5000000</v>
      </c>
    </row>
    <row r="68" spans="1:4" s="15" customFormat="1" ht="15.75">
      <c r="A68" s="506"/>
      <c r="B68" s="505" t="s">
        <v>1091</v>
      </c>
      <c r="C68" s="541"/>
      <c r="D68" s="798">
        <v>200000</v>
      </c>
    </row>
    <row r="69" spans="1:4" s="15" customFormat="1" ht="15.75">
      <c r="A69" s="140"/>
      <c r="B69" s="6" t="s">
        <v>751</v>
      </c>
      <c r="C69" s="92">
        <f>SUM(C57:C68)</f>
        <v>13820000</v>
      </c>
      <c r="D69" s="92">
        <f>SUM(D57:D68)</f>
        <v>15075000</v>
      </c>
    </row>
    <row r="70" spans="1:4" s="15" customFormat="1" ht="15.75">
      <c r="A70" s="183">
        <v>10403</v>
      </c>
      <c r="B70" s="183" t="s">
        <v>701</v>
      </c>
      <c r="C70" s="535"/>
      <c r="D70" s="535"/>
    </row>
    <row r="71" spans="1:4" s="15" customFormat="1" ht="15.75">
      <c r="A71" s="12">
        <v>2211016</v>
      </c>
      <c r="B71" s="4" t="s">
        <v>358</v>
      </c>
      <c r="C71" s="541">
        <v>750000</v>
      </c>
      <c r="D71" s="541"/>
    </row>
    <row r="72" spans="1:4" s="186" customFormat="1" ht="15.75">
      <c r="A72" s="206">
        <v>3111106</v>
      </c>
      <c r="B72" s="56" t="s">
        <v>359</v>
      </c>
      <c r="C72" s="541">
        <v>710000</v>
      </c>
      <c r="D72" s="799">
        <v>500000</v>
      </c>
    </row>
    <row r="73" spans="1:4" s="15" customFormat="1" ht="15.75">
      <c r="A73" s="85">
        <v>2210712</v>
      </c>
      <c r="B73" s="56" t="s">
        <v>79</v>
      </c>
      <c r="C73" s="541">
        <v>200000</v>
      </c>
      <c r="D73" s="541"/>
    </row>
    <row r="74" spans="1:4" s="15" customFormat="1" ht="15.75">
      <c r="A74" s="85" t="s">
        <v>85</v>
      </c>
      <c r="B74" s="56" t="s">
        <v>86</v>
      </c>
      <c r="C74" s="541">
        <v>50000</v>
      </c>
      <c r="D74" s="541"/>
    </row>
    <row r="75" spans="1:4" s="93" customFormat="1" ht="15.75">
      <c r="A75" s="506" t="s">
        <v>141</v>
      </c>
      <c r="B75" s="505" t="s">
        <v>142</v>
      </c>
      <c r="C75" s="541">
        <v>1800000</v>
      </c>
      <c r="D75" s="541"/>
    </row>
    <row r="76" spans="1:4" s="15" customFormat="1" ht="15.75">
      <c r="A76" s="85" t="s">
        <v>26</v>
      </c>
      <c r="B76" s="56" t="s">
        <v>27</v>
      </c>
      <c r="C76" s="541">
        <v>20000</v>
      </c>
      <c r="D76" s="541"/>
    </row>
    <row r="77" spans="1:4" s="15" customFormat="1" ht="15.75">
      <c r="A77" s="85" t="s">
        <v>38</v>
      </c>
      <c r="B77" s="56" t="s">
        <v>39</v>
      </c>
      <c r="C77" s="541">
        <v>2500000</v>
      </c>
      <c r="D77" s="798">
        <v>1000000</v>
      </c>
    </row>
    <row r="78" spans="1:4" s="15" customFormat="1" ht="15.75">
      <c r="A78" s="85" t="s">
        <v>36</v>
      </c>
      <c r="B78" s="56" t="s">
        <v>37</v>
      </c>
      <c r="C78" s="541">
        <v>2500000</v>
      </c>
      <c r="D78" s="541"/>
    </row>
    <row r="79" spans="1:4" s="15" customFormat="1" ht="15.75">
      <c r="A79" s="12" t="s">
        <v>33</v>
      </c>
      <c r="B79" s="56" t="s">
        <v>34</v>
      </c>
      <c r="C79" s="541">
        <v>150000</v>
      </c>
      <c r="D79" s="541">
        <v>700000</v>
      </c>
    </row>
    <row r="80" spans="1:4" s="186" customFormat="1" ht="15.75">
      <c r="A80" s="185"/>
      <c r="B80" s="56" t="s">
        <v>360</v>
      </c>
      <c r="C80" s="541">
        <v>200000</v>
      </c>
      <c r="D80" s="541">
        <v>1000000</v>
      </c>
    </row>
    <row r="81" spans="1:4" s="186" customFormat="1" ht="15.75">
      <c r="A81" s="185"/>
      <c r="B81" s="56" t="s">
        <v>361</v>
      </c>
      <c r="C81" s="541">
        <v>700000</v>
      </c>
      <c r="D81" s="541"/>
    </row>
    <row r="82" spans="1:4" s="93" customFormat="1" ht="15.75">
      <c r="A82" s="12" t="s">
        <v>51</v>
      </c>
      <c r="B82" s="99" t="s">
        <v>52</v>
      </c>
      <c r="C82" s="541">
        <v>50000</v>
      </c>
      <c r="D82" s="541"/>
    </row>
    <row r="83" spans="1:4" s="93" customFormat="1" ht="15.75">
      <c r="A83" s="12" t="s">
        <v>122</v>
      </c>
      <c r="B83" s="99" t="s">
        <v>123</v>
      </c>
      <c r="C83" s="541">
        <v>500000</v>
      </c>
      <c r="D83" s="541">
        <v>500000</v>
      </c>
    </row>
    <row r="84" spans="1:4" s="93" customFormat="1" ht="15.75">
      <c r="A84" s="506" t="s">
        <v>129</v>
      </c>
      <c r="B84" s="505" t="s">
        <v>130</v>
      </c>
      <c r="C84" s="541"/>
      <c r="D84" s="541">
        <v>900000</v>
      </c>
    </row>
    <row r="85" spans="1:4" s="93" customFormat="1" ht="15.75">
      <c r="A85" s="141">
        <v>3111001</v>
      </c>
      <c r="B85" s="122" t="s">
        <v>200</v>
      </c>
      <c r="C85" s="541"/>
      <c r="D85" s="541">
        <v>1000000</v>
      </c>
    </row>
    <row r="86" spans="1:4" s="93" customFormat="1" ht="15.75">
      <c r="A86" s="505" t="s">
        <v>149</v>
      </c>
      <c r="B86" s="505" t="s">
        <v>1028</v>
      </c>
      <c r="C86" s="541">
        <v>2000000</v>
      </c>
      <c r="D86" s="541">
        <v>2000000</v>
      </c>
    </row>
    <row r="87" spans="1:4" s="15" customFormat="1" ht="15.75">
      <c r="A87" s="140"/>
      <c r="B87" s="6" t="s">
        <v>777</v>
      </c>
      <c r="C87" s="92">
        <f>SUM(C71:C86)</f>
        <v>12130000</v>
      </c>
      <c r="D87" s="92">
        <f>SUM(D71:D86)</f>
        <v>7600000</v>
      </c>
    </row>
    <row r="88" spans="1:4" s="70" customFormat="1" ht="15.75" hidden="1">
      <c r="A88" s="179">
        <v>3100000</v>
      </c>
      <c r="B88" s="64" t="s">
        <v>763</v>
      </c>
      <c r="C88" s="536"/>
      <c r="D88" s="536"/>
    </row>
    <row r="89" spans="1:4" s="70" customFormat="1" ht="15.75" hidden="1">
      <c r="A89" s="151">
        <v>3111106</v>
      </c>
      <c r="B89" s="152" t="s">
        <v>527</v>
      </c>
      <c r="C89" s="432">
        <v>0</v>
      </c>
      <c r="D89" s="719"/>
    </row>
    <row r="90" spans="1:4" s="70" customFormat="1" ht="15.75" hidden="1">
      <c r="A90" s="206">
        <v>3110902</v>
      </c>
      <c r="B90" s="152" t="s">
        <v>514</v>
      </c>
      <c r="C90" s="432">
        <v>3000000</v>
      </c>
      <c r="D90" s="719"/>
    </row>
    <row r="91" spans="1:4" s="70" customFormat="1" ht="15.75" hidden="1">
      <c r="A91" s="390" t="s">
        <v>170</v>
      </c>
      <c r="B91" s="464"/>
      <c r="C91" s="92">
        <f>SUM(C89:C90)</f>
        <v>3000000</v>
      </c>
      <c r="D91" s="92">
        <f>SUM(D89:D90)</f>
        <v>0</v>
      </c>
    </row>
    <row r="92" spans="1:4" s="70" customFormat="1" ht="15.75">
      <c r="A92" s="179"/>
      <c r="B92" s="281" t="s">
        <v>778</v>
      </c>
      <c r="C92" s="103">
        <f>SUM(C91,C87)</f>
        <v>15130000</v>
      </c>
      <c r="D92" s="103">
        <f>SUM(D91,D87)</f>
        <v>7600000</v>
      </c>
    </row>
    <row r="93" spans="1:4" ht="15.75">
      <c r="A93" s="140" t="s">
        <v>171</v>
      </c>
      <c r="B93" s="6"/>
      <c r="C93" s="7">
        <f>SUM(C87,C69,C55)</f>
        <v>49758809</v>
      </c>
      <c r="D93" s="7">
        <f>SUM(D87,D69,D55)</f>
        <v>38985000</v>
      </c>
    </row>
    <row r="94" spans="1:4" ht="15.75">
      <c r="A94" s="140" t="s">
        <v>172</v>
      </c>
      <c r="B94" s="6"/>
      <c r="C94" s="7">
        <f>C93</f>
        <v>49758809</v>
      </c>
      <c r="D94" s="7">
        <f>D93</f>
        <v>38985000</v>
      </c>
    </row>
    <row r="95" spans="1:4" ht="15">
      <c r="A95" s="768" t="s">
        <v>1081</v>
      </c>
      <c r="B95" s="769"/>
      <c r="C95" s="770">
        <f>SUM(C91)</f>
        <v>3000000</v>
      </c>
      <c r="D95" s="770">
        <f>SUM(D91)</f>
        <v>0</v>
      </c>
    </row>
    <row r="96" spans="1:4" ht="15">
      <c r="A96" s="767" t="s">
        <v>788</v>
      </c>
      <c r="B96" s="769"/>
      <c r="C96" s="770">
        <f>SUM(C95,C94)</f>
        <v>52758809</v>
      </c>
      <c r="D96" s="770">
        <f>SUM(D95,D94)</f>
        <v>38985000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3"/>
  <sheetViews>
    <sheetView view="pageBreakPreview" zoomScale="130" zoomScaleSheetLayoutView="130" zoomScalePageLayoutView="0" workbookViewId="0" topLeftCell="A1">
      <pane ySplit="2" topLeftCell="A100" activePane="bottomLeft" state="frozen"/>
      <selection pane="topLeft" activeCell="E12" sqref="E12"/>
      <selection pane="bottomLeft" activeCell="A128" sqref="A128:IV130"/>
    </sheetView>
  </sheetViews>
  <sheetFormatPr defaultColWidth="9.140625" defaultRowHeight="15"/>
  <cols>
    <col min="1" max="1" width="10.00390625" style="206" customWidth="1"/>
    <col min="2" max="2" width="77.00390625" style="54" customWidth="1"/>
    <col min="3" max="3" width="18.00390625" style="102" hidden="1" customWidth="1"/>
    <col min="4" max="4" width="17.7109375" style="484" hidden="1" customWidth="1"/>
    <col min="5" max="5" width="19.140625" style="102" customWidth="1"/>
    <col min="6" max="6" width="23.7109375" style="102" customWidth="1"/>
    <col min="7" max="7" width="10.57421875" style="54" bestFit="1" customWidth="1"/>
    <col min="8" max="16384" width="9.140625" style="54" customWidth="1"/>
  </cols>
  <sheetData>
    <row r="1" spans="1:3" ht="15.75">
      <c r="A1" s="921" t="s">
        <v>181</v>
      </c>
      <c r="B1" s="922"/>
      <c r="C1" s="924"/>
    </row>
    <row r="2" spans="1:6" ht="63">
      <c r="A2" s="904" t="s">
        <v>168</v>
      </c>
      <c r="B2" s="923"/>
      <c r="C2" s="427" t="s">
        <v>389</v>
      </c>
      <c r="D2" s="369" t="s">
        <v>995</v>
      </c>
      <c r="E2" s="393" t="s">
        <v>997</v>
      </c>
      <c r="F2" s="393" t="s">
        <v>1068</v>
      </c>
    </row>
    <row r="3" spans="1:6" ht="15.75">
      <c r="A3" s="200">
        <v>10501</v>
      </c>
      <c r="B3" s="200" t="s">
        <v>680</v>
      </c>
      <c r="C3" s="433"/>
      <c r="D3" s="485"/>
      <c r="E3" s="508"/>
      <c r="F3" s="508"/>
    </row>
    <row r="4" spans="1:6" ht="15.75">
      <c r="A4" s="200">
        <v>2100000</v>
      </c>
      <c r="B4" s="200" t="s">
        <v>678</v>
      </c>
      <c r="C4" s="109"/>
      <c r="D4" s="485"/>
      <c r="E4" s="508"/>
      <c r="F4" s="508"/>
    </row>
    <row r="5" spans="1:6" ht="15.75">
      <c r="A5" s="135"/>
      <c r="B5" s="101" t="s">
        <v>2</v>
      </c>
      <c r="C5" s="60"/>
      <c r="D5" s="485"/>
      <c r="E5" s="508"/>
      <c r="F5" s="508"/>
    </row>
    <row r="6" spans="1:6" ht="15.75">
      <c r="A6" s="12" t="s">
        <v>0</v>
      </c>
      <c r="B6" s="5" t="s">
        <v>1</v>
      </c>
      <c r="C6" s="60">
        <v>243470898</v>
      </c>
      <c r="D6" s="485"/>
      <c r="E6" s="508">
        <f>C6+D6</f>
        <v>243470898</v>
      </c>
      <c r="F6" s="508">
        <v>248340315</v>
      </c>
    </row>
    <row r="7" spans="1:6" ht="15.75">
      <c r="A7" s="140" t="s">
        <v>170</v>
      </c>
      <c r="B7" s="6"/>
      <c r="C7" s="61">
        <f>SUM(C6)</f>
        <v>243470898</v>
      </c>
      <c r="D7" s="486">
        <f>SUM(D6)</f>
        <v>0</v>
      </c>
      <c r="E7" s="61">
        <f>SUM(E6)</f>
        <v>243470898</v>
      </c>
      <c r="F7" s="61">
        <f>SUM(F6)</f>
        <v>248340315</v>
      </c>
    </row>
    <row r="8" spans="1:6" ht="15.75">
      <c r="A8" s="12"/>
      <c r="B8" s="101" t="s">
        <v>5</v>
      </c>
      <c r="C8" s="60"/>
      <c r="D8" s="485"/>
      <c r="E8" s="508"/>
      <c r="F8" s="508"/>
    </row>
    <row r="9" spans="1:6" ht="15.75">
      <c r="A9" s="12" t="s">
        <v>3</v>
      </c>
      <c r="B9" s="4" t="s">
        <v>4</v>
      </c>
      <c r="C9" s="60">
        <v>93603667</v>
      </c>
      <c r="D9" s="485"/>
      <c r="E9" s="508">
        <f>C9+D9</f>
        <v>93603667</v>
      </c>
      <c r="F9" s="508">
        <v>95475740</v>
      </c>
    </row>
    <row r="10" spans="1:6" ht="15.75">
      <c r="A10" s="12" t="s">
        <v>10</v>
      </c>
      <c r="B10" s="4" t="s">
        <v>11</v>
      </c>
      <c r="C10" s="60">
        <v>45144838</v>
      </c>
      <c r="D10" s="485"/>
      <c r="E10" s="508">
        <f>C10+D10</f>
        <v>45144838</v>
      </c>
      <c r="F10" s="508">
        <v>46047734</v>
      </c>
    </row>
    <row r="11" spans="1:6" ht="15.75">
      <c r="A11" s="12" t="s">
        <v>12</v>
      </c>
      <c r="B11" s="4" t="s">
        <v>13</v>
      </c>
      <c r="C11" s="60">
        <v>4913475</v>
      </c>
      <c r="D11" s="485"/>
      <c r="E11" s="508">
        <f>C11+D11</f>
        <v>4913475</v>
      </c>
      <c r="F11" s="508">
        <v>5011744</v>
      </c>
    </row>
    <row r="12" spans="1:6" ht="15.75">
      <c r="A12" s="12">
        <v>2120103</v>
      </c>
      <c r="B12" s="4" t="s">
        <v>325</v>
      </c>
      <c r="C12" s="60">
        <v>151500000</v>
      </c>
      <c r="D12" s="485"/>
      <c r="E12" s="508">
        <f>C12+D12</f>
        <v>151500000</v>
      </c>
      <c r="F12" s="508">
        <v>151500000</v>
      </c>
    </row>
    <row r="13" spans="1:6" ht="15.75">
      <c r="A13" s="140" t="s">
        <v>170</v>
      </c>
      <c r="B13" s="6"/>
      <c r="C13" s="61">
        <f>SUM(C9:C12)</f>
        <v>295161980</v>
      </c>
      <c r="D13" s="486">
        <f>SUM(D9:D12)</f>
        <v>0</v>
      </c>
      <c r="E13" s="61">
        <f>SUM(E9:E12)</f>
        <v>295161980</v>
      </c>
      <c r="F13" s="61">
        <f>SUM(F9:F12)</f>
        <v>298035218</v>
      </c>
    </row>
    <row r="14" spans="1:6" ht="15.75">
      <c r="A14" s="140" t="s">
        <v>173</v>
      </c>
      <c r="B14" s="6"/>
      <c r="C14" s="61">
        <f>C7+C13</f>
        <v>538632878</v>
      </c>
      <c r="D14" s="486">
        <f>D7+D13</f>
        <v>0</v>
      </c>
      <c r="E14" s="61">
        <f>E7+E13</f>
        <v>538632878</v>
      </c>
      <c r="F14" s="61">
        <f>F7+F13</f>
        <v>546375533</v>
      </c>
    </row>
    <row r="15" spans="1:6" ht="15.75">
      <c r="A15" s="202">
        <v>2200000</v>
      </c>
      <c r="B15" s="64" t="s">
        <v>679</v>
      </c>
      <c r="C15" s="104"/>
      <c r="D15" s="485"/>
      <c r="E15" s="508"/>
      <c r="F15" s="508"/>
    </row>
    <row r="16" spans="1:6" ht="15.75">
      <c r="A16" s="12"/>
      <c r="B16" s="101" t="s">
        <v>21</v>
      </c>
      <c r="C16" s="60"/>
      <c r="D16" s="485"/>
      <c r="E16" s="508"/>
      <c r="F16" s="508"/>
    </row>
    <row r="17" spans="1:6" ht="15.75">
      <c r="A17" s="12" t="s">
        <v>19</v>
      </c>
      <c r="B17" s="4" t="s">
        <v>20</v>
      </c>
      <c r="C17" s="60">
        <v>120000</v>
      </c>
      <c r="D17" s="485"/>
      <c r="E17" s="508">
        <f>C17+D17</f>
        <v>120000</v>
      </c>
      <c r="F17" s="508">
        <v>120000</v>
      </c>
    </row>
    <row r="18" spans="1:6" ht="15.75">
      <c r="A18" s="12" t="s">
        <v>22</v>
      </c>
      <c r="B18" s="4" t="s">
        <v>23</v>
      </c>
      <c r="C18" s="60">
        <v>100000</v>
      </c>
      <c r="D18" s="485"/>
      <c r="E18" s="508">
        <f>C18+D18</f>
        <v>100000</v>
      </c>
      <c r="F18" s="508">
        <v>100000</v>
      </c>
    </row>
    <row r="19" spans="1:6" ht="15.75">
      <c r="A19" s="12" t="s">
        <v>24</v>
      </c>
      <c r="B19" s="4" t="s">
        <v>25</v>
      </c>
      <c r="C19" s="60">
        <v>30000</v>
      </c>
      <c r="D19" s="485"/>
      <c r="E19" s="508">
        <f>C19+D19</f>
        <v>30000</v>
      </c>
      <c r="F19" s="508"/>
    </row>
    <row r="20" spans="1:6" ht="15.75">
      <c r="A20" s="140" t="s">
        <v>170</v>
      </c>
      <c r="B20" s="6"/>
      <c r="C20" s="61">
        <f>SUM(C17:C19)</f>
        <v>250000</v>
      </c>
      <c r="D20" s="486">
        <f>SUM(D17:D19)</f>
        <v>0</v>
      </c>
      <c r="E20" s="61">
        <f>SUM(E17:E19)</f>
        <v>250000</v>
      </c>
      <c r="F20" s="61">
        <f>SUM(F17:F19)</f>
        <v>220000</v>
      </c>
    </row>
    <row r="21" spans="1:6" ht="15.75">
      <c r="A21" s="12"/>
      <c r="B21" s="101" t="s">
        <v>28</v>
      </c>
      <c r="C21" s="60"/>
      <c r="D21" s="485"/>
      <c r="E21" s="508"/>
      <c r="F21" s="508"/>
    </row>
    <row r="22" spans="1:6" ht="15.75">
      <c r="A22" s="12" t="s">
        <v>26</v>
      </c>
      <c r="B22" s="4" t="s">
        <v>27</v>
      </c>
      <c r="C22" s="60">
        <v>100000</v>
      </c>
      <c r="D22" s="485"/>
      <c r="E22" s="508">
        <f>C22+D22</f>
        <v>100000</v>
      </c>
      <c r="F22" s="508">
        <v>100000</v>
      </c>
    </row>
    <row r="23" spans="1:6" ht="15.75">
      <c r="A23" s="12" t="s">
        <v>29</v>
      </c>
      <c r="B23" s="4" t="s">
        <v>30</v>
      </c>
      <c r="C23" s="60">
        <v>100000</v>
      </c>
      <c r="D23" s="485"/>
      <c r="E23" s="508">
        <f>C23+D23</f>
        <v>100000</v>
      </c>
      <c r="F23" s="508">
        <v>100000</v>
      </c>
    </row>
    <row r="24" spans="1:6" ht="15.75">
      <c r="A24" s="12" t="s">
        <v>31</v>
      </c>
      <c r="B24" s="4" t="s">
        <v>32</v>
      </c>
      <c r="C24" s="60">
        <v>35000</v>
      </c>
      <c r="D24" s="485"/>
      <c r="E24" s="508">
        <f>C24+D24</f>
        <v>35000</v>
      </c>
      <c r="F24" s="508">
        <v>35000</v>
      </c>
    </row>
    <row r="25" spans="1:6" ht="15.75">
      <c r="A25" s="140" t="s">
        <v>170</v>
      </c>
      <c r="B25" s="6"/>
      <c r="C25" s="61">
        <f>SUM(C22:C24)</f>
        <v>235000</v>
      </c>
      <c r="D25" s="486">
        <f>SUM(D22:D24)</f>
        <v>0</v>
      </c>
      <c r="E25" s="61">
        <f>SUM(E22:E24)</f>
        <v>235000</v>
      </c>
      <c r="F25" s="61">
        <f>SUM(F22:F24)</f>
        <v>235000</v>
      </c>
    </row>
    <row r="26" spans="1:6" ht="15.75">
      <c r="A26" s="12"/>
      <c r="B26" s="101" t="s">
        <v>35</v>
      </c>
      <c r="C26" s="60"/>
      <c r="D26" s="485"/>
      <c r="E26" s="508"/>
      <c r="F26" s="508"/>
    </row>
    <row r="27" spans="1:6" ht="15.75">
      <c r="A27" s="12" t="s">
        <v>33</v>
      </c>
      <c r="B27" s="4" t="s">
        <v>34</v>
      </c>
      <c r="C27" s="60">
        <v>400000</v>
      </c>
      <c r="D27" s="485"/>
      <c r="E27" s="508">
        <f>C27+D27</f>
        <v>400000</v>
      </c>
      <c r="F27" s="508">
        <v>400000</v>
      </c>
    </row>
    <row r="28" spans="1:6" ht="15.75">
      <c r="A28" s="12" t="s">
        <v>36</v>
      </c>
      <c r="B28" s="4" t="s">
        <v>37</v>
      </c>
      <c r="C28" s="60">
        <v>20000000</v>
      </c>
      <c r="D28" s="485"/>
      <c r="E28" s="508">
        <f>C28+D28</f>
        <v>20000000</v>
      </c>
      <c r="F28" s="508">
        <v>4500000</v>
      </c>
    </row>
    <row r="29" spans="1:6" ht="15.75">
      <c r="A29" s="12" t="s">
        <v>38</v>
      </c>
      <c r="B29" s="4" t="s">
        <v>39</v>
      </c>
      <c r="C29" s="60">
        <v>21000000</v>
      </c>
      <c r="D29" s="485"/>
      <c r="E29" s="508">
        <f>C29+D29</f>
        <v>21000000</v>
      </c>
      <c r="F29" s="508">
        <v>4500000</v>
      </c>
    </row>
    <row r="30" spans="1:6" ht="15.75">
      <c r="A30" s="12" t="s">
        <v>40</v>
      </c>
      <c r="B30" s="4" t="s">
        <v>41</v>
      </c>
      <c r="C30" s="60">
        <v>100000</v>
      </c>
      <c r="D30" s="485"/>
      <c r="E30" s="508">
        <f>C30+D30</f>
        <v>100000</v>
      </c>
      <c r="F30" s="508"/>
    </row>
    <row r="31" spans="1:6" ht="15.75">
      <c r="A31" s="140" t="s">
        <v>170</v>
      </c>
      <c r="B31" s="6"/>
      <c r="C31" s="61">
        <f>SUM(C27:C30)</f>
        <v>41500000</v>
      </c>
      <c r="D31" s="486">
        <f>SUM(D27:D30)</f>
        <v>0</v>
      </c>
      <c r="E31" s="61">
        <f>SUM(E27:E30)</f>
        <v>41500000</v>
      </c>
      <c r="F31" s="61">
        <f>SUM(F27:F30)</f>
        <v>9400000</v>
      </c>
    </row>
    <row r="32" spans="1:6" ht="15.75">
      <c r="A32" s="12"/>
      <c r="B32" s="101" t="s">
        <v>44</v>
      </c>
      <c r="C32" s="60"/>
      <c r="D32" s="485"/>
      <c r="E32" s="508"/>
      <c r="F32" s="508"/>
    </row>
    <row r="33" spans="1:6" ht="15.75">
      <c r="A33" s="12" t="s">
        <v>42</v>
      </c>
      <c r="B33" s="4" t="s">
        <v>43</v>
      </c>
      <c r="C33" s="60">
        <v>500000</v>
      </c>
      <c r="D33" s="485">
        <v>500000</v>
      </c>
      <c r="E33" s="508">
        <f>C33+D33</f>
        <v>1000000</v>
      </c>
      <c r="F33" s="508">
        <v>300000</v>
      </c>
    </row>
    <row r="34" spans="1:6" ht="15.75">
      <c r="A34" s="12" t="s">
        <v>45</v>
      </c>
      <c r="B34" s="4" t="s">
        <v>46</v>
      </c>
      <c r="C34" s="60">
        <v>1000000</v>
      </c>
      <c r="D34" s="485">
        <v>1000000</v>
      </c>
      <c r="E34" s="508">
        <f>C34+D34</f>
        <v>2000000</v>
      </c>
      <c r="F34" s="508"/>
    </row>
    <row r="35" spans="1:6" ht="15.75">
      <c r="A35" s="12" t="s">
        <v>47</v>
      </c>
      <c r="B35" s="4" t="s">
        <v>39</v>
      </c>
      <c r="C35" s="60">
        <v>2000000</v>
      </c>
      <c r="D35" s="485">
        <v>1500000</v>
      </c>
      <c r="E35" s="508">
        <f>C35+D35</f>
        <v>3500000</v>
      </c>
      <c r="F35" s="508">
        <v>1000000</v>
      </c>
    </row>
    <row r="36" spans="1:6" ht="15.75">
      <c r="A36" s="12" t="s">
        <v>48</v>
      </c>
      <c r="B36" s="4" t="s">
        <v>49</v>
      </c>
      <c r="C36" s="60">
        <v>200000</v>
      </c>
      <c r="D36" s="485"/>
      <c r="E36" s="508">
        <f>C36+D36</f>
        <v>200000</v>
      </c>
      <c r="F36" s="508">
        <v>100000</v>
      </c>
    </row>
    <row r="37" spans="1:6" ht="15.75">
      <c r="A37" s="140" t="s">
        <v>170</v>
      </c>
      <c r="B37" s="6"/>
      <c r="C37" s="61">
        <f>SUM(C33:C36)</f>
        <v>3700000</v>
      </c>
      <c r="D37" s="486">
        <f>SUM(D33:D36)</f>
        <v>3000000</v>
      </c>
      <c r="E37" s="61">
        <f>SUM(E33:E36)</f>
        <v>6700000</v>
      </c>
      <c r="F37" s="61">
        <f>SUM(F33:F36)</f>
        <v>1400000</v>
      </c>
    </row>
    <row r="38" spans="1:6" ht="15.75">
      <c r="A38" s="12"/>
      <c r="B38" s="101" t="s">
        <v>50</v>
      </c>
      <c r="C38" s="60"/>
      <c r="D38" s="485"/>
      <c r="E38" s="508"/>
      <c r="F38" s="508"/>
    </row>
    <row r="39" spans="1:6" ht="15.75">
      <c r="A39" s="12" t="s">
        <v>51</v>
      </c>
      <c r="B39" s="4" t="s">
        <v>52</v>
      </c>
      <c r="C39" s="60">
        <v>400000</v>
      </c>
      <c r="D39" s="485"/>
      <c r="E39" s="508">
        <f>C39+D39</f>
        <v>400000</v>
      </c>
      <c r="F39" s="508">
        <v>400000</v>
      </c>
    </row>
    <row r="40" spans="1:6" ht="15.75">
      <c r="A40" s="12" t="s">
        <v>53</v>
      </c>
      <c r="B40" s="4" t="s">
        <v>54</v>
      </c>
      <c r="C40" s="60">
        <v>40000</v>
      </c>
      <c r="D40" s="485"/>
      <c r="E40" s="508">
        <f>C40+D40</f>
        <v>40000</v>
      </c>
      <c r="F40" s="508">
        <v>40000</v>
      </c>
    </row>
    <row r="41" spans="1:6" ht="15.75">
      <c r="A41" s="12" t="s">
        <v>55</v>
      </c>
      <c r="B41" s="4" t="s">
        <v>56</v>
      </c>
      <c r="C41" s="60">
        <v>250000</v>
      </c>
      <c r="D41" s="485">
        <v>850000</v>
      </c>
      <c r="E41" s="508">
        <f>C41+D41</f>
        <v>1100000</v>
      </c>
      <c r="F41" s="508">
        <v>500000</v>
      </c>
    </row>
    <row r="42" spans="1:6" ht="15.75">
      <c r="A42" s="140" t="s">
        <v>170</v>
      </c>
      <c r="B42" s="6"/>
      <c r="C42" s="61">
        <f>SUM(C39:C41)</f>
        <v>690000</v>
      </c>
      <c r="D42" s="486">
        <f>SUM(D39:D41)</f>
        <v>850000</v>
      </c>
      <c r="E42" s="61">
        <f>SUM(E39:E41)</f>
        <v>1540000</v>
      </c>
      <c r="F42" s="61">
        <f>SUM(F39:F41)</f>
        <v>940000</v>
      </c>
    </row>
    <row r="43" spans="1:6" ht="15.75">
      <c r="A43" s="12"/>
      <c r="B43" s="101" t="s">
        <v>59</v>
      </c>
      <c r="C43" s="60"/>
      <c r="D43" s="485"/>
      <c r="E43" s="508"/>
      <c r="F43" s="508"/>
    </row>
    <row r="44" spans="1:6" ht="15.75">
      <c r="A44" s="12" t="s">
        <v>64</v>
      </c>
      <c r="B44" s="4" t="s">
        <v>65</v>
      </c>
      <c r="C44" s="60">
        <v>0</v>
      </c>
      <c r="D44" s="485"/>
      <c r="E44" s="508">
        <f>C44+D44</f>
        <v>0</v>
      </c>
      <c r="F44" s="508"/>
    </row>
    <row r="45" spans="1:6" ht="15.75">
      <c r="A45" s="140" t="s">
        <v>170</v>
      </c>
      <c r="B45" s="6"/>
      <c r="C45" s="61">
        <f>SUM(C44:C44)</f>
        <v>0</v>
      </c>
      <c r="D45" s="486">
        <f>SUM(D44:D44)</f>
        <v>0</v>
      </c>
      <c r="E45" s="61">
        <f>SUM(E44:E44)</f>
        <v>0</v>
      </c>
      <c r="F45" s="61">
        <f>SUM(F44:F44)</f>
        <v>0</v>
      </c>
    </row>
    <row r="46" spans="1:6" ht="15.75">
      <c r="A46" s="12"/>
      <c r="B46" s="101" t="s">
        <v>68</v>
      </c>
      <c r="C46" s="60"/>
      <c r="D46" s="485"/>
      <c r="E46" s="508"/>
      <c r="F46" s="508"/>
    </row>
    <row r="47" spans="1:6" ht="15.75">
      <c r="A47" s="12" t="s">
        <v>66</v>
      </c>
      <c r="B47" s="4" t="s">
        <v>67</v>
      </c>
      <c r="C47" s="60">
        <v>250000</v>
      </c>
      <c r="D47" s="485"/>
      <c r="E47" s="508">
        <f>C47+D47</f>
        <v>250000</v>
      </c>
      <c r="F47" s="508">
        <v>100000</v>
      </c>
    </row>
    <row r="48" spans="1:6" ht="15.75">
      <c r="A48" s="12" t="s">
        <v>69</v>
      </c>
      <c r="B48" s="4" t="s">
        <v>70</v>
      </c>
      <c r="C48" s="60">
        <v>200000</v>
      </c>
      <c r="D48" s="485"/>
      <c r="E48" s="508">
        <f>C48+D48</f>
        <v>200000</v>
      </c>
      <c r="F48" s="508">
        <v>100000</v>
      </c>
    </row>
    <row r="49" spans="1:6" ht="15.75">
      <c r="A49" s="12" t="s">
        <v>73</v>
      </c>
      <c r="B49" s="4" t="s">
        <v>74</v>
      </c>
      <c r="C49" s="60">
        <v>350000</v>
      </c>
      <c r="D49" s="485"/>
      <c r="E49" s="508">
        <f>C49+D49</f>
        <v>350000</v>
      </c>
      <c r="F49" s="508"/>
    </row>
    <row r="50" spans="1:6" ht="15.75">
      <c r="A50" s="12" t="s">
        <v>75</v>
      </c>
      <c r="B50" s="4" t="s">
        <v>76</v>
      </c>
      <c r="C50" s="60">
        <v>800000</v>
      </c>
      <c r="D50" s="485"/>
      <c r="E50" s="508">
        <f>C50+D50</f>
        <v>800000</v>
      </c>
      <c r="F50" s="508">
        <v>800000</v>
      </c>
    </row>
    <row r="51" spans="1:6" ht="15.75">
      <c r="A51" s="12" t="s">
        <v>80</v>
      </c>
      <c r="B51" s="4" t="s">
        <v>81</v>
      </c>
      <c r="C51" s="60">
        <v>2500000</v>
      </c>
      <c r="D51" s="485"/>
      <c r="E51" s="508">
        <f>C51+D51</f>
        <v>2500000</v>
      </c>
      <c r="F51" s="508">
        <v>1000000</v>
      </c>
    </row>
    <row r="52" spans="1:6" ht="15.75">
      <c r="A52" s="140" t="s">
        <v>170</v>
      </c>
      <c r="B52" s="6"/>
      <c r="C52" s="61">
        <f>SUM(C47:C51)</f>
        <v>4100000</v>
      </c>
      <c r="D52" s="486">
        <f>SUM(D47:D51)</f>
        <v>0</v>
      </c>
      <c r="E52" s="61">
        <f>SUM(E47:E51)</f>
        <v>4100000</v>
      </c>
      <c r="F52" s="61">
        <f>SUM(F47:F51)</f>
        <v>2000000</v>
      </c>
    </row>
    <row r="53" spans="1:6" ht="15.75">
      <c r="A53" s="12"/>
      <c r="B53" s="101" t="s">
        <v>84</v>
      </c>
      <c r="C53" s="60"/>
      <c r="D53" s="485"/>
      <c r="E53" s="508"/>
      <c r="F53" s="508"/>
    </row>
    <row r="54" spans="1:6" ht="15.75">
      <c r="A54" s="12" t="s">
        <v>82</v>
      </c>
      <c r="B54" s="4" t="s">
        <v>83</v>
      </c>
      <c r="C54" s="60">
        <v>500000</v>
      </c>
      <c r="D54" s="485">
        <v>5000000</v>
      </c>
      <c r="E54" s="508">
        <f>C54+D54</f>
        <v>5500000</v>
      </c>
      <c r="F54" s="508">
        <v>1000000</v>
      </c>
    </row>
    <row r="55" spans="1:6" ht="15.75">
      <c r="A55" s="12" t="s">
        <v>85</v>
      </c>
      <c r="B55" s="4" t="s">
        <v>86</v>
      </c>
      <c r="C55" s="60">
        <v>1500000</v>
      </c>
      <c r="D55" s="485"/>
      <c r="E55" s="508">
        <f>C55+D55</f>
        <v>1500000</v>
      </c>
      <c r="F55" s="508">
        <v>700000</v>
      </c>
    </row>
    <row r="56" spans="1:6" ht="15.75">
      <c r="A56" s="140" t="s">
        <v>170</v>
      </c>
      <c r="B56" s="6"/>
      <c r="C56" s="61">
        <f>SUM(C54:C55)</f>
        <v>2000000</v>
      </c>
      <c r="D56" s="486">
        <f>SUM(D54:D55)</f>
        <v>5000000</v>
      </c>
      <c r="E56" s="61">
        <f>SUM(E54:E55)</f>
        <v>7000000</v>
      </c>
      <c r="F56" s="61">
        <f>SUM(F54:F55)</f>
        <v>1700000</v>
      </c>
    </row>
    <row r="57" spans="1:6" ht="15.75">
      <c r="A57" s="12"/>
      <c r="B57" s="101" t="s">
        <v>94</v>
      </c>
      <c r="C57" s="60"/>
      <c r="D57" s="485"/>
      <c r="E57" s="508"/>
      <c r="F57" s="508"/>
    </row>
    <row r="58" spans="1:6" ht="15.75">
      <c r="A58" s="12" t="s">
        <v>92</v>
      </c>
      <c r="B58" s="4" t="s">
        <v>93</v>
      </c>
      <c r="C58" s="60">
        <v>5000000</v>
      </c>
      <c r="D58" s="485">
        <v>3000000</v>
      </c>
      <c r="E58" s="508">
        <f>C58+D58</f>
        <v>8000000</v>
      </c>
      <c r="F58" s="508">
        <v>8000000</v>
      </c>
    </row>
    <row r="59" spans="1:6" ht="15.75">
      <c r="A59" s="12" t="s">
        <v>95</v>
      </c>
      <c r="B59" s="4" t="s">
        <v>96</v>
      </c>
      <c r="C59" s="60">
        <v>3000000</v>
      </c>
      <c r="D59" s="485"/>
      <c r="E59" s="508">
        <f>C59+D59</f>
        <v>3000000</v>
      </c>
      <c r="F59" s="508">
        <v>3000000</v>
      </c>
    </row>
    <row r="60" spans="1:6" ht="15.75">
      <c r="A60" s="12">
        <v>2210902</v>
      </c>
      <c r="B60" s="4" t="s">
        <v>340</v>
      </c>
      <c r="C60" s="63">
        <v>8000000</v>
      </c>
      <c r="D60" s="485"/>
      <c r="E60" s="508">
        <f>C60+D60</f>
        <v>8000000</v>
      </c>
      <c r="F60" s="508">
        <v>8000000</v>
      </c>
    </row>
    <row r="61" spans="1:6" ht="15.75">
      <c r="A61" s="12" t="s">
        <v>97</v>
      </c>
      <c r="B61" s="4" t="s">
        <v>98</v>
      </c>
      <c r="C61" s="60">
        <v>30000000</v>
      </c>
      <c r="D61" s="485">
        <v>8000000</v>
      </c>
      <c r="E61" s="508">
        <f>C61+D61</f>
        <v>38000000</v>
      </c>
      <c r="F61" s="508">
        <v>40000000</v>
      </c>
    </row>
    <row r="62" spans="1:6" ht="15.75">
      <c r="A62" s="12" t="s">
        <v>99</v>
      </c>
      <c r="B62" s="4" t="s">
        <v>100</v>
      </c>
      <c r="C62" s="60">
        <v>100000000</v>
      </c>
      <c r="D62" s="485">
        <v>42000000</v>
      </c>
      <c r="E62" s="508">
        <f>C62+D62</f>
        <v>142000000</v>
      </c>
      <c r="F62" s="508">
        <v>150000000</v>
      </c>
    </row>
    <row r="63" spans="1:6" ht="15.75">
      <c r="A63" s="140" t="s">
        <v>170</v>
      </c>
      <c r="B63" s="6"/>
      <c r="C63" s="61">
        <f>SUM(C58:C62)</f>
        <v>146000000</v>
      </c>
      <c r="D63" s="486">
        <f>SUM(D58:D62)</f>
        <v>53000000</v>
      </c>
      <c r="E63" s="61">
        <f>SUM(E58:E62)</f>
        <v>199000000</v>
      </c>
      <c r="F63" s="61">
        <f>SUM(F58:F62)</f>
        <v>209000000</v>
      </c>
    </row>
    <row r="64" spans="1:6" ht="15.75">
      <c r="A64" s="12"/>
      <c r="B64" s="101" t="s">
        <v>124</v>
      </c>
      <c r="C64" s="60"/>
      <c r="D64" s="485"/>
      <c r="E64" s="508"/>
      <c r="F64" s="508"/>
    </row>
    <row r="65" spans="1:6" ht="15.75">
      <c r="A65" s="12" t="s">
        <v>122</v>
      </c>
      <c r="B65" s="4" t="s">
        <v>123</v>
      </c>
      <c r="C65" s="60">
        <v>750000</v>
      </c>
      <c r="D65" s="485"/>
      <c r="E65" s="508">
        <f>C65+D65</f>
        <v>750000</v>
      </c>
      <c r="F65" s="508">
        <v>750000</v>
      </c>
    </row>
    <row r="66" spans="1:6" ht="15.75">
      <c r="A66" s="12" t="s">
        <v>125</v>
      </c>
      <c r="B66" s="4" t="s">
        <v>126</v>
      </c>
      <c r="C66" s="60">
        <v>300000</v>
      </c>
      <c r="D66" s="485"/>
      <c r="E66" s="508">
        <f>C66+D66</f>
        <v>300000</v>
      </c>
      <c r="F66" s="508">
        <v>300000</v>
      </c>
    </row>
    <row r="67" spans="1:6" ht="15.75">
      <c r="A67" s="12" t="s">
        <v>127</v>
      </c>
      <c r="B67" s="4" t="s">
        <v>128</v>
      </c>
      <c r="C67" s="60">
        <v>250000</v>
      </c>
      <c r="D67" s="485"/>
      <c r="E67" s="508">
        <f>C67+D67</f>
        <v>250000</v>
      </c>
      <c r="F67" s="508">
        <v>250000</v>
      </c>
    </row>
    <row r="68" spans="1:6" ht="15.75">
      <c r="A68" s="140" t="s">
        <v>170</v>
      </c>
      <c r="B68" s="6"/>
      <c r="C68" s="61">
        <f>SUM(C65:C67)</f>
        <v>1300000</v>
      </c>
      <c r="D68" s="486">
        <f>SUM(D65:D67)</f>
        <v>0</v>
      </c>
      <c r="E68" s="61">
        <f>SUM(E65:E67)</f>
        <v>1300000</v>
      </c>
      <c r="F68" s="61">
        <f>SUM(F65:F67)</f>
        <v>1300000</v>
      </c>
    </row>
    <row r="69" spans="1:6" ht="15.75">
      <c r="A69" s="12"/>
      <c r="B69" s="101" t="s">
        <v>131</v>
      </c>
      <c r="C69" s="60"/>
      <c r="D69" s="485"/>
      <c r="E69" s="508"/>
      <c r="F69" s="508"/>
    </row>
    <row r="70" spans="1:6" ht="15.75">
      <c r="A70" s="12" t="s">
        <v>129</v>
      </c>
      <c r="B70" s="4" t="s">
        <v>130</v>
      </c>
      <c r="C70" s="60">
        <v>1000000</v>
      </c>
      <c r="D70" s="485"/>
      <c r="E70" s="508">
        <f>C70+D70</f>
        <v>1000000</v>
      </c>
      <c r="F70" s="508">
        <v>1000000</v>
      </c>
    </row>
    <row r="71" spans="1:6" ht="15.75">
      <c r="A71" s="12" t="s">
        <v>132</v>
      </c>
      <c r="B71" s="4" t="s">
        <v>133</v>
      </c>
      <c r="C71" s="60">
        <v>150000</v>
      </c>
      <c r="D71" s="485"/>
      <c r="E71" s="508">
        <f>C71+D71</f>
        <v>150000</v>
      </c>
      <c r="F71" s="508">
        <v>150000</v>
      </c>
    </row>
    <row r="72" spans="1:6" ht="15.75">
      <c r="A72" s="140" t="s">
        <v>170</v>
      </c>
      <c r="B72" s="6"/>
      <c r="C72" s="61">
        <f>SUM(C70:C71)</f>
        <v>1150000</v>
      </c>
      <c r="D72" s="486">
        <f>SUM(D70:D71)</f>
        <v>0</v>
      </c>
      <c r="E72" s="61">
        <f>SUM(E70:E71)</f>
        <v>1150000</v>
      </c>
      <c r="F72" s="61">
        <f>SUM(F70:F71)</f>
        <v>1150000</v>
      </c>
    </row>
    <row r="73" spans="1:6" ht="15.75">
      <c r="A73" s="12"/>
      <c r="B73" s="101" t="s">
        <v>136</v>
      </c>
      <c r="C73" s="60"/>
      <c r="D73" s="485"/>
      <c r="E73" s="508"/>
      <c r="F73" s="508"/>
    </row>
    <row r="74" spans="1:6" ht="15.75">
      <c r="A74" s="12" t="s">
        <v>134</v>
      </c>
      <c r="B74" s="4" t="s">
        <v>135</v>
      </c>
      <c r="C74" s="60">
        <v>100000</v>
      </c>
      <c r="D74" s="485"/>
      <c r="E74" s="508">
        <f aca="true" t="shared" si="0" ref="E74:E84">C74+D74</f>
        <v>100000</v>
      </c>
      <c r="F74" s="508">
        <v>100000</v>
      </c>
    </row>
    <row r="75" spans="1:6" ht="15.75">
      <c r="A75" s="12" t="s">
        <v>137</v>
      </c>
      <c r="B75" s="4" t="s">
        <v>362</v>
      </c>
      <c r="C75" s="60">
        <v>0</v>
      </c>
      <c r="D75" s="485">
        <v>15000000</v>
      </c>
      <c r="E75" s="508">
        <f t="shared" si="0"/>
        <v>15000000</v>
      </c>
      <c r="F75" s="508">
        <v>3000000</v>
      </c>
    </row>
    <row r="76" spans="1:6" ht="15.75">
      <c r="A76" s="12" t="s">
        <v>141</v>
      </c>
      <c r="B76" s="4" t="s">
        <v>142</v>
      </c>
      <c r="C76" s="60">
        <v>0</v>
      </c>
      <c r="D76" s="485">
        <v>3300000</v>
      </c>
      <c r="E76" s="508">
        <f t="shared" si="0"/>
        <v>3300000</v>
      </c>
      <c r="F76" s="508">
        <v>0</v>
      </c>
    </row>
    <row r="77" spans="1:6" ht="15.75">
      <c r="A77" s="12" t="s">
        <v>147</v>
      </c>
      <c r="B77" s="4" t="s">
        <v>148</v>
      </c>
      <c r="C77" s="60">
        <v>20000</v>
      </c>
      <c r="D77" s="485"/>
      <c r="E77" s="508">
        <f t="shared" si="0"/>
        <v>20000</v>
      </c>
      <c r="F77" s="508">
        <v>20000</v>
      </c>
    </row>
    <row r="78" spans="1:6" ht="15.75">
      <c r="A78" s="12">
        <v>3111001</v>
      </c>
      <c r="B78" s="4" t="s">
        <v>326</v>
      </c>
      <c r="C78" s="60">
        <v>0</v>
      </c>
      <c r="D78" s="485">
        <v>2400000</v>
      </c>
      <c r="E78" s="508">
        <f t="shared" si="0"/>
        <v>2400000</v>
      </c>
      <c r="F78" s="508"/>
    </row>
    <row r="79" spans="1:6" ht="15.75">
      <c r="A79" s="206">
        <v>9910321</v>
      </c>
      <c r="B79" s="56" t="s">
        <v>973</v>
      </c>
      <c r="C79" s="63">
        <v>151000000</v>
      </c>
      <c r="D79" s="485"/>
      <c r="E79" s="508">
        <f t="shared" si="0"/>
        <v>151000000</v>
      </c>
      <c r="F79" s="508">
        <v>100000000</v>
      </c>
    </row>
    <row r="80" spans="1:6" ht="15.75">
      <c r="A80" s="12">
        <v>3111002</v>
      </c>
      <c r="B80" s="4" t="s">
        <v>327</v>
      </c>
      <c r="C80" s="60">
        <v>0</v>
      </c>
      <c r="D80" s="485">
        <v>380000</v>
      </c>
      <c r="E80" s="508">
        <f t="shared" si="0"/>
        <v>380000</v>
      </c>
      <c r="F80" s="508">
        <v>380000</v>
      </c>
    </row>
    <row r="81" spans="1:6" ht="15.75">
      <c r="A81" s="85">
        <v>3110701</v>
      </c>
      <c r="B81" s="4" t="s">
        <v>348</v>
      </c>
      <c r="C81" s="60">
        <v>5000000</v>
      </c>
      <c r="D81" s="485"/>
      <c r="E81" s="508">
        <f t="shared" si="0"/>
        <v>5000000</v>
      </c>
      <c r="F81" s="508"/>
    </row>
    <row r="82" spans="1:6" ht="15.75">
      <c r="A82" s="12">
        <v>4110405</v>
      </c>
      <c r="B82" s="4" t="s">
        <v>330</v>
      </c>
      <c r="C82" s="60">
        <v>15000000</v>
      </c>
      <c r="D82" s="485"/>
      <c r="E82" s="508">
        <f t="shared" si="0"/>
        <v>15000000</v>
      </c>
      <c r="F82" s="508">
        <v>10000000</v>
      </c>
    </row>
    <row r="83" spans="1:6" ht="15.75">
      <c r="A83" s="12"/>
      <c r="B83" s="56" t="s">
        <v>882</v>
      </c>
      <c r="C83" s="63">
        <v>30000000</v>
      </c>
      <c r="D83" s="485"/>
      <c r="E83" s="508">
        <f t="shared" si="0"/>
        <v>30000000</v>
      </c>
      <c r="F83" s="508">
        <v>45000000</v>
      </c>
    </row>
    <row r="84" spans="1:6" ht="15.75">
      <c r="A84" s="12">
        <v>2810205</v>
      </c>
      <c r="B84" s="4" t="s">
        <v>328</v>
      </c>
      <c r="C84" s="60">
        <v>12000000</v>
      </c>
      <c r="D84" s="485"/>
      <c r="E84" s="508">
        <f t="shared" si="0"/>
        <v>12000000</v>
      </c>
      <c r="F84" s="508">
        <v>20000000</v>
      </c>
    </row>
    <row r="85" spans="1:6" ht="15.75">
      <c r="A85" s="140" t="s">
        <v>170</v>
      </c>
      <c r="B85" s="6"/>
      <c r="C85" s="61">
        <f>SUM(C74:C84)</f>
        <v>213120000</v>
      </c>
      <c r="D85" s="486">
        <f>SUM(D74:D84)</f>
        <v>21080000</v>
      </c>
      <c r="E85" s="61">
        <f>SUM(E74:E84)</f>
        <v>234200000</v>
      </c>
      <c r="F85" s="61">
        <f>SUM(F74:F84)</f>
        <v>178500000</v>
      </c>
    </row>
    <row r="86" spans="1:6" ht="15.75">
      <c r="A86" s="12"/>
      <c r="B86" s="101" t="s">
        <v>151</v>
      </c>
      <c r="C86" s="60"/>
      <c r="D86" s="485"/>
      <c r="E86" s="508"/>
      <c r="F86" s="508"/>
    </row>
    <row r="87" spans="1:6" ht="15.75">
      <c r="A87" s="12" t="s">
        <v>149</v>
      </c>
      <c r="B87" s="4" t="s">
        <v>150</v>
      </c>
      <c r="C87" s="60">
        <v>1000000</v>
      </c>
      <c r="D87" s="485"/>
      <c r="E87" s="508">
        <f>C87+D87</f>
        <v>1000000</v>
      </c>
      <c r="F87" s="508">
        <v>700000</v>
      </c>
    </row>
    <row r="88" spans="1:6" ht="15.75">
      <c r="A88" s="140" t="s">
        <v>170</v>
      </c>
      <c r="B88" s="6"/>
      <c r="C88" s="61">
        <f>SUM(C87:C87)</f>
        <v>1000000</v>
      </c>
      <c r="D88" s="486">
        <f>SUM(D87:D87)</f>
        <v>0</v>
      </c>
      <c r="E88" s="61">
        <f>SUM(E87:E87)</f>
        <v>1000000</v>
      </c>
      <c r="F88" s="61">
        <f>SUM(F87:F87)</f>
        <v>700000</v>
      </c>
    </row>
    <row r="89" spans="1:6" ht="15.75">
      <c r="A89" s="12"/>
      <c r="B89" s="101" t="s">
        <v>154</v>
      </c>
      <c r="C89" s="60"/>
      <c r="D89" s="485"/>
      <c r="E89" s="508"/>
      <c r="F89" s="508"/>
    </row>
    <row r="90" spans="1:6" ht="15.75">
      <c r="A90" s="12" t="s">
        <v>157</v>
      </c>
      <c r="B90" s="4" t="s">
        <v>158</v>
      </c>
      <c r="C90" s="60">
        <v>10000000</v>
      </c>
      <c r="D90" s="485"/>
      <c r="E90" s="508">
        <f>C90+D90</f>
        <v>10000000</v>
      </c>
      <c r="F90" s="508">
        <v>1300000</v>
      </c>
    </row>
    <row r="91" spans="1:7" ht="15.75">
      <c r="A91" s="12" t="s">
        <v>161</v>
      </c>
      <c r="B91" s="4" t="s">
        <v>162</v>
      </c>
      <c r="C91" s="60">
        <v>12500000</v>
      </c>
      <c r="D91" s="485">
        <f>3000000-408669</f>
        <v>2591331</v>
      </c>
      <c r="E91" s="508">
        <f>C91+D91</f>
        <v>15091331</v>
      </c>
      <c r="F91" s="508">
        <v>1967366</v>
      </c>
      <c r="G91" s="102"/>
    </row>
    <row r="92" spans="1:6" ht="15.75">
      <c r="A92" s="140" t="s">
        <v>170</v>
      </c>
      <c r="B92" s="6"/>
      <c r="C92" s="61">
        <f>SUM(C90:C91)</f>
        <v>22500000</v>
      </c>
      <c r="D92" s="486">
        <f>SUM(D90:D91)</f>
        <v>2591331</v>
      </c>
      <c r="E92" s="61">
        <f>SUM(E90:E91)</f>
        <v>25091331</v>
      </c>
      <c r="F92" s="61">
        <f>SUM(F90:F91)</f>
        <v>3267366</v>
      </c>
    </row>
    <row r="93" spans="1:6" s="62" customFormat="1" ht="15.75">
      <c r="A93" s="140"/>
      <c r="B93" s="6" t="s">
        <v>768</v>
      </c>
      <c r="C93" s="61">
        <f>SUM(C92,C88,C85,C72,C68,C63,C56,C52,C45,C42,C37,C31,C25,C20)</f>
        <v>437545000</v>
      </c>
      <c r="D93" s="486">
        <f>SUM(D92,D88,D85,D72,D68,D63,D56,D52,D45,D42,D37,D31,D25,D20)</f>
        <v>85521331</v>
      </c>
      <c r="E93" s="61">
        <f>SUM(E92,E88,E85,E72,E68,E63,E56,E52,E45,E42,E37,E31,E25,E20)</f>
        <v>523066331</v>
      </c>
      <c r="F93" s="61">
        <f>SUM(F92,F88,F85,F72,F68,F63,F56,F52,F45,F42,F37,F31,F25,F20)</f>
        <v>409812366</v>
      </c>
    </row>
    <row r="94" spans="1:6" s="62" customFormat="1" ht="15.75">
      <c r="A94" s="140"/>
      <c r="B94" s="6" t="s">
        <v>687</v>
      </c>
      <c r="C94" s="61">
        <f>SUM(C93+C14)</f>
        <v>976177878</v>
      </c>
      <c r="D94" s="486">
        <f>SUM(D93+D14)</f>
        <v>85521331</v>
      </c>
      <c r="E94" s="61">
        <f>SUM(E93+E14)</f>
        <v>1061699209</v>
      </c>
      <c r="F94" s="61">
        <f>SUM(F93+F14)</f>
        <v>956187899</v>
      </c>
    </row>
    <row r="95" spans="1:6" s="62" customFormat="1" ht="15.75">
      <c r="A95" s="140"/>
      <c r="B95" s="6" t="s">
        <v>789</v>
      </c>
      <c r="C95" s="61">
        <f>SUM(C94)</f>
        <v>976177878</v>
      </c>
      <c r="D95" s="61">
        <f>SUM(D94)</f>
        <v>85521331</v>
      </c>
      <c r="E95" s="61">
        <f>SUM(E94)</f>
        <v>1061699209</v>
      </c>
      <c r="F95" s="61">
        <f>SUM(F94)</f>
        <v>956187899</v>
      </c>
    </row>
    <row r="96" spans="1:6" s="62" customFormat="1" ht="15.75">
      <c r="A96" s="179">
        <v>10502</v>
      </c>
      <c r="B96" s="64" t="s">
        <v>703</v>
      </c>
      <c r="C96" s="104"/>
      <c r="D96" s="487"/>
      <c r="E96" s="63"/>
      <c r="F96" s="63"/>
    </row>
    <row r="97" spans="1:6" s="62" customFormat="1" ht="15.75">
      <c r="A97" s="183">
        <v>1050201</v>
      </c>
      <c r="B97" s="71" t="s">
        <v>704</v>
      </c>
      <c r="C97" s="63"/>
      <c r="D97" s="487"/>
      <c r="E97" s="63"/>
      <c r="F97" s="63"/>
    </row>
    <row r="98" spans="1:6" ht="15.75">
      <c r="A98" s="12" t="s">
        <v>26</v>
      </c>
      <c r="B98" s="4" t="s">
        <v>27</v>
      </c>
      <c r="C98" s="60">
        <v>100000</v>
      </c>
      <c r="D98" s="485"/>
      <c r="E98" s="508">
        <f>C98+D98</f>
        <v>100000</v>
      </c>
      <c r="F98" s="508">
        <v>100000</v>
      </c>
    </row>
    <row r="99" spans="1:6" ht="15.75">
      <c r="A99" s="140" t="s">
        <v>170</v>
      </c>
      <c r="B99" s="6"/>
      <c r="C99" s="61">
        <f>SUM(C98:C98)</f>
        <v>100000</v>
      </c>
      <c r="D99" s="486">
        <f>SUM(D98:D98)</f>
        <v>0</v>
      </c>
      <c r="E99" s="61">
        <f>SUM(E98:E98)</f>
        <v>100000</v>
      </c>
      <c r="F99" s="61">
        <f>SUM(F98:F98)</f>
        <v>100000</v>
      </c>
    </row>
    <row r="100" spans="1:6" ht="15.75">
      <c r="A100" s="12"/>
      <c r="B100" s="101" t="s">
        <v>35</v>
      </c>
      <c r="C100" s="60"/>
      <c r="D100" s="485"/>
      <c r="E100" s="508"/>
      <c r="F100" s="508"/>
    </row>
    <row r="101" spans="1:6" ht="15.75">
      <c r="A101" s="12" t="s">
        <v>33</v>
      </c>
      <c r="B101" s="4" t="s">
        <v>34</v>
      </c>
      <c r="C101" s="60">
        <v>500000</v>
      </c>
      <c r="D101" s="485"/>
      <c r="E101" s="508">
        <f>C101+D101</f>
        <v>500000</v>
      </c>
      <c r="F101" s="508">
        <v>500000</v>
      </c>
    </row>
    <row r="102" spans="1:6" ht="15.75">
      <c r="A102" s="12" t="s">
        <v>36</v>
      </c>
      <c r="B102" s="4" t="s">
        <v>37</v>
      </c>
      <c r="C102" s="60">
        <v>2000000</v>
      </c>
      <c r="D102" s="485"/>
      <c r="E102" s="508">
        <f>C102+D102</f>
        <v>2000000</v>
      </c>
      <c r="F102" s="508">
        <v>2000000</v>
      </c>
    </row>
    <row r="103" spans="1:6" ht="15.75">
      <c r="A103" s="12" t="s">
        <v>38</v>
      </c>
      <c r="B103" s="4" t="s">
        <v>39</v>
      </c>
      <c r="C103" s="60">
        <v>3000000</v>
      </c>
      <c r="D103" s="485"/>
      <c r="E103" s="508">
        <f>C103+D103</f>
        <v>3000000</v>
      </c>
      <c r="F103" s="508">
        <v>3000000</v>
      </c>
    </row>
    <row r="104" spans="1:6" ht="15.75">
      <c r="A104" s="140" t="s">
        <v>170</v>
      </c>
      <c r="B104" s="6"/>
      <c r="C104" s="61">
        <f>SUM(C101:C103)</f>
        <v>5500000</v>
      </c>
      <c r="D104" s="486">
        <f>SUM(D101:D103)</f>
        <v>0</v>
      </c>
      <c r="E104" s="61">
        <f>SUM(E101:E103)</f>
        <v>5500000</v>
      </c>
      <c r="F104" s="61">
        <f>SUM(F101:F103)</f>
        <v>5500000</v>
      </c>
    </row>
    <row r="105" spans="1:6" ht="15.75">
      <c r="A105" s="12"/>
      <c r="B105" s="101" t="s">
        <v>50</v>
      </c>
      <c r="C105" s="60"/>
      <c r="D105" s="485"/>
      <c r="E105" s="508"/>
      <c r="F105" s="508"/>
    </row>
    <row r="106" spans="1:6" ht="15.75">
      <c r="A106" s="12" t="s">
        <v>51</v>
      </c>
      <c r="B106" s="4" t="s">
        <v>52</v>
      </c>
      <c r="C106" s="60">
        <v>100000</v>
      </c>
      <c r="D106" s="485"/>
      <c r="E106" s="508">
        <f>C106+D106</f>
        <v>100000</v>
      </c>
      <c r="F106" s="508">
        <v>100000</v>
      </c>
    </row>
    <row r="107" spans="1:6" ht="15.75">
      <c r="A107" s="12" t="s">
        <v>53</v>
      </c>
      <c r="B107" s="4" t="s">
        <v>54</v>
      </c>
      <c r="C107" s="60">
        <v>50000</v>
      </c>
      <c r="D107" s="485"/>
      <c r="E107" s="508">
        <f>C107+D107</f>
        <v>50000</v>
      </c>
      <c r="F107" s="508">
        <v>50000</v>
      </c>
    </row>
    <row r="108" spans="1:6" ht="15.75">
      <c r="A108" s="140" t="s">
        <v>170</v>
      </c>
      <c r="B108" s="6"/>
      <c r="C108" s="61">
        <f>SUM(C106:C107)</f>
        <v>150000</v>
      </c>
      <c r="D108" s="486">
        <f>SUM(D106:D107)</f>
        <v>0</v>
      </c>
      <c r="E108" s="61">
        <f>SUM(E106:E107)</f>
        <v>150000</v>
      </c>
      <c r="F108" s="61">
        <f>SUM(F106:F107)</f>
        <v>150000</v>
      </c>
    </row>
    <row r="109" spans="1:6" ht="15.75">
      <c r="A109" s="12"/>
      <c r="B109" s="101" t="s">
        <v>68</v>
      </c>
      <c r="C109" s="60"/>
      <c r="D109" s="485"/>
      <c r="E109" s="508"/>
      <c r="F109" s="508"/>
    </row>
    <row r="110" spans="1:6" ht="15.75">
      <c r="A110" s="12" t="s">
        <v>66</v>
      </c>
      <c r="B110" s="4" t="s">
        <v>67</v>
      </c>
      <c r="C110" s="60">
        <v>200000</v>
      </c>
      <c r="D110" s="485"/>
      <c r="E110" s="508">
        <f>C110+D110</f>
        <v>200000</v>
      </c>
      <c r="F110" s="508">
        <v>200000</v>
      </c>
    </row>
    <row r="111" spans="1:6" ht="15.75">
      <c r="A111" s="12" t="s">
        <v>75</v>
      </c>
      <c r="B111" s="4" t="s">
        <v>76</v>
      </c>
      <c r="C111" s="60">
        <v>1500000</v>
      </c>
      <c r="D111" s="485"/>
      <c r="E111" s="508">
        <f>C111+D111</f>
        <v>1500000</v>
      </c>
      <c r="F111" s="508">
        <v>1500000</v>
      </c>
    </row>
    <row r="112" spans="1:6" ht="15.75">
      <c r="A112" s="85">
        <v>2210711</v>
      </c>
      <c r="B112" s="4" t="s">
        <v>331</v>
      </c>
      <c r="C112" s="60">
        <v>500000</v>
      </c>
      <c r="D112" s="485"/>
      <c r="E112" s="508">
        <f>C112+D112</f>
        <v>500000</v>
      </c>
      <c r="F112" s="508">
        <v>500000</v>
      </c>
    </row>
    <row r="113" spans="1:6" ht="15.75">
      <c r="A113" s="140" t="s">
        <v>170</v>
      </c>
      <c r="B113" s="6"/>
      <c r="C113" s="61">
        <f>SUM(C110:C112)</f>
        <v>2200000</v>
      </c>
      <c r="D113" s="486">
        <f>SUM(D110:D112)</f>
        <v>0</v>
      </c>
      <c r="E113" s="61">
        <f>SUM(E110:E112)</f>
        <v>2200000</v>
      </c>
      <c r="F113" s="61">
        <f>SUM(F110:F112)</f>
        <v>2200000</v>
      </c>
    </row>
    <row r="114" spans="1:6" ht="15.75">
      <c r="A114" s="12"/>
      <c r="B114" s="101" t="s">
        <v>84</v>
      </c>
      <c r="C114" s="60"/>
      <c r="D114" s="485"/>
      <c r="E114" s="508"/>
      <c r="F114" s="508"/>
    </row>
    <row r="115" spans="1:6" ht="15.75">
      <c r="A115" s="12" t="s">
        <v>82</v>
      </c>
      <c r="B115" s="4" t="s">
        <v>83</v>
      </c>
      <c r="C115" s="60">
        <v>200000</v>
      </c>
      <c r="D115" s="485"/>
      <c r="E115" s="508">
        <f>C115+D115</f>
        <v>200000</v>
      </c>
      <c r="F115" s="508">
        <f>D115+E115</f>
        <v>200000</v>
      </c>
    </row>
    <row r="116" spans="1:6" ht="15.75">
      <c r="A116" s="12" t="s">
        <v>85</v>
      </c>
      <c r="B116" s="4" t="s">
        <v>86</v>
      </c>
      <c r="C116" s="60">
        <v>1000000</v>
      </c>
      <c r="D116" s="485"/>
      <c r="E116" s="508">
        <f>C116+D116</f>
        <v>1000000</v>
      </c>
      <c r="F116" s="508">
        <f>D116+E116</f>
        <v>1000000</v>
      </c>
    </row>
    <row r="117" spans="1:6" ht="15.75">
      <c r="A117" s="140" t="s">
        <v>170</v>
      </c>
      <c r="B117" s="6"/>
      <c r="C117" s="61">
        <f>SUM(C115:C116)</f>
        <v>1200000</v>
      </c>
      <c r="D117" s="486">
        <f>SUM(D115:D116)</f>
        <v>0</v>
      </c>
      <c r="E117" s="61">
        <f>SUM(E115:E116)</f>
        <v>1200000</v>
      </c>
      <c r="F117" s="61">
        <f>SUM(F115:F116)</f>
        <v>1200000</v>
      </c>
    </row>
    <row r="118" spans="1:6" ht="15.75">
      <c r="A118" s="12"/>
      <c r="B118" s="101" t="s">
        <v>124</v>
      </c>
      <c r="C118" s="60"/>
      <c r="D118" s="485"/>
      <c r="E118" s="508"/>
      <c r="F118" s="508"/>
    </row>
    <row r="119" spans="1:6" ht="15.75">
      <c r="A119" s="12" t="s">
        <v>122</v>
      </c>
      <c r="B119" s="4" t="s">
        <v>123</v>
      </c>
      <c r="C119" s="60">
        <v>700000</v>
      </c>
      <c r="D119" s="485"/>
      <c r="E119" s="508">
        <f aca="true" t="shared" si="1" ref="E119:F121">C119+D119</f>
        <v>700000</v>
      </c>
      <c r="F119" s="508">
        <f t="shared" si="1"/>
        <v>700000</v>
      </c>
    </row>
    <row r="120" spans="1:6" ht="15.75">
      <c r="A120" s="12" t="s">
        <v>125</v>
      </c>
      <c r="B120" s="4" t="s">
        <v>126</v>
      </c>
      <c r="C120" s="60">
        <v>350000</v>
      </c>
      <c r="D120" s="485"/>
      <c r="E120" s="508">
        <f t="shared" si="1"/>
        <v>350000</v>
      </c>
      <c r="F120" s="508">
        <f t="shared" si="1"/>
        <v>350000</v>
      </c>
    </row>
    <row r="121" spans="1:6" ht="15.75">
      <c r="A121" s="12" t="s">
        <v>127</v>
      </c>
      <c r="B121" s="4" t="s">
        <v>128</v>
      </c>
      <c r="C121" s="60">
        <v>100000</v>
      </c>
      <c r="D121" s="485"/>
      <c r="E121" s="508">
        <f t="shared" si="1"/>
        <v>100000</v>
      </c>
      <c r="F121" s="508">
        <f t="shared" si="1"/>
        <v>100000</v>
      </c>
    </row>
    <row r="122" spans="1:6" ht="15.75">
      <c r="A122" s="140" t="s">
        <v>170</v>
      </c>
      <c r="B122" s="6"/>
      <c r="C122" s="61">
        <f>SUM(C119:C121)</f>
        <v>1150000</v>
      </c>
      <c r="D122" s="486">
        <f>SUM(D119:D121)</f>
        <v>0</v>
      </c>
      <c r="E122" s="61">
        <f>SUM(E119:E121)</f>
        <v>1150000</v>
      </c>
      <c r="F122" s="61">
        <f>SUM(F119:F121)</f>
        <v>1150000</v>
      </c>
    </row>
    <row r="123" spans="1:6" ht="15.75">
      <c r="A123" s="12"/>
      <c r="B123" s="101" t="s">
        <v>136</v>
      </c>
      <c r="C123" s="60"/>
      <c r="D123" s="485"/>
      <c r="E123" s="508"/>
      <c r="F123" s="508"/>
    </row>
    <row r="124" spans="1:6" ht="15.75">
      <c r="A124" s="12" t="s">
        <v>139</v>
      </c>
      <c r="B124" s="4" t="s">
        <v>140</v>
      </c>
      <c r="C124" s="60">
        <v>100000</v>
      </c>
      <c r="D124" s="485"/>
      <c r="E124" s="508">
        <f>C124+D124</f>
        <v>100000</v>
      </c>
      <c r="F124" s="508">
        <f>D124+E124</f>
        <v>100000</v>
      </c>
    </row>
    <row r="125" spans="1:6" ht="15.75">
      <c r="A125" s="505">
        <v>2211310</v>
      </c>
      <c r="B125" s="505" t="s">
        <v>142</v>
      </c>
      <c r="C125" s="60">
        <v>0</v>
      </c>
      <c r="D125" s="485">
        <v>2500000</v>
      </c>
      <c r="E125" s="508">
        <f>C125+D125</f>
        <v>2500000</v>
      </c>
      <c r="F125" s="508">
        <v>2500000</v>
      </c>
    </row>
    <row r="126" spans="1:6" ht="15.75">
      <c r="A126" s="140" t="s">
        <v>170</v>
      </c>
      <c r="B126" s="6"/>
      <c r="C126" s="61">
        <f>SUM(C124:C125)</f>
        <v>100000</v>
      </c>
      <c r="D126" s="486">
        <f>SUM(D124:D125)</f>
        <v>2500000</v>
      </c>
      <c r="E126" s="61">
        <f>SUM(E124:E125)</f>
        <v>2600000</v>
      </c>
      <c r="F126" s="61">
        <f>SUM(F124:F125)</f>
        <v>2600000</v>
      </c>
    </row>
    <row r="127" spans="1:6" ht="15.75">
      <c r="A127" s="140"/>
      <c r="B127" s="6" t="s">
        <v>921</v>
      </c>
      <c r="C127" s="61">
        <f>SUM(C126,C122,C117,C113,C108,C104,C99)</f>
        <v>10400000</v>
      </c>
      <c r="D127" s="486">
        <f>SUM(D126,D122,D117,D113,D108,D104,D99)</f>
        <v>2500000</v>
      </c>
      <c r="E127" s="61">
        <f>SUM(E126,E122,E117,E113,E108,E104,E99)</f>
        <v>12900000</v>
      </c>
      <c r="F127" s="61">
        <f>SUM(F126,F122,F117,F113,F108,F104,F99)</f>
        <v>12900000</v>
      </c>
    </row>
    <row r="128" spans="1:6" s="703" customFormat="1" ht="15.75" hidden="1">
      <c r="A128" s="697"/>
      <c r="B128" s="698" t="s">
        <v>763</v>
      </c>
      <c r="C128" s="699"/>
      <c r="D128" s="702"/>
      <c r="E128" s="771"/>
      <c r="F128" s="771"/>
    </row>
    <row r="129" spans="1:6" s="62" customFormat="1" ht="15.75" hidden="1">
      <c r="A129" s="398">
        <v>3111112</v>
      </c>
      <c r="B129" s="711" t="s">
        <v>530</v>
      </c>
      <c r="C129" s="63" t="e">
        <f>'PROJECTS DETAILS'!#REF!</f>
        <v>#REF!</v>
      </c>
      <c r="D129" s="487" t="e">
        <f>'PROJECTS DETAILS'!#REF!</f>
        <v>#REF!</v>
      </c>
      <c r="E129" s="63"/>
      <c r="F129" s="63"/>
    </row>
    <row r="130" spans="1:6" s="62" customFormat="1" ht="15.75" hidden="1">
      <c r="A130" s="140"/>
      <c r="B130" s="6" t="s">
        <v>922</v>
      </c>
      <c r="C130" s="61" t="e">
        <f>SUM(C129)</f>
        <v>#REF!</v>
      </c>
      <c r="D130" s="486" t="e">
        <f>SUM(D129)</f>
        <v>#REF!</v>
      </c>
      <c r="E130" s="61">
        <f>SUM(E129)</f>
        <v>0</v>
      </c>
      <c r="F130" s="61">
        <f>SUM(F129)</f>
        <v>0</v>
      </c>
    </row>
    <row r="131" spans="1:6" s="62" customFormat="1" ht="15.75">
      <c r="A131" s="140"/>
      <c r="B131" s="6" t="s">
        <v>708</v>
      </c>
      <c r="C131" s="61" t="e">
        <f>SUM(C130,C127)</f>
        <v>#REF!</v>
      </c>
      <c r="D131" s="486" t="e">
        <f>SUM(D130,D127)</f>
        <v>#REF!</v>
      </c>
      <c r="E131" s="61">
        <f>SUM(E130,E127)</f>
        <v>12900000</v>
      </c>
      <c r="F131" s="61">
        <f>SUM(F130,F127)</f>
        <v>12900000</v>
      </c>
    </row>
    <row r="132" spans="1:6" ht="15.75">
      <c r="A132" s="183">
        <v>1050202</v>
      </c>
      <c r="B132" s="71" t="s">
        <v>705</v>
      </c>
      <c r="C132" s="60"/>
      <c r="D132" s="485"/>
      <c r="E132" s="508"/>
      <c r="F132" s="508"/>
    </row>
    <row r="133" spans="1:6" ht="15.75">
      <c r="A133" s="12" t="s">
        <v>26</v>
      </c>
      <c r="B133" s="4" t="s">
        <v>27</v>
      </c>
      <c r="C133" s="60">
        <v>50000</v>
      </c>
      <c r="D133" s="485"/>
      <c r="E133" s="508">
        <f>C133+D133</f>
        <v>50000</v>
      </c>
      <c r="F133" s="508">
        <v>50000</v>
      </c>
    </row>
    <row r="134" spans="1:6" ht="15.75">
      <c r="A134" s="140" t="s">
        <v>170</v>
      </c>
      <c r="B134" s="6"/>
      <c r="C134" s="61">
        <f>SUM(C133:C133)</f>
        <v>50000</v>
      </c>
      <c r="D134" s="486">
        <f>SUM(D133:D133)</f>
        <v>0</v>
      </c>
      <c r="E134" s="61">
        <f>SUM(E133:E133)</f>
        <v>50000</v>
      </c>
      <c r="F134" s="61">
        <f>SUM(F133:F133)</f>
        <v>50000</v>
      </c>
    </row>
    <row r="135" spans="1:6" ht="15.75">
      <c r="A135" s="12"/>
      <c r="B135" s="101" t="s">
        <v>35</v>
      </c>
      <c r="C135" s="60"/>
      <c r="D135" s="485"/>
      <c r="E135" s="508"/>
      <c r="F135" s="508"/>
    </row>
    <row r="136" spans="1:6" ht="15.75">
      <c r="A136" s="12" t="s">
        <v>33</v>
      </c>
      <c r="B136" s="4" t="s">
        <v>34</v>
      </c>
      <c r="C136" s="60">
        <v>200000</v>
      </c>
      <c r="D136" s="485"/>
      <c r="E136" s="508">
        <f aca="true" t="shared" si="2" ref="E136:F138">C136+D136</f>
        <v>200000</v>
      </c>
      <c r="F136" s="508">
        <f t="shared" si="2"/>
        <v>200000</v>
      </c>
    </row>
    <row r="137" spans="1:6" ht="15.75">
      <c r="A137" s="12" t="s">
        <v>36</v>
      </c>
      <c r="B137" s="4" t="s">
        <v>37</v>
      </c>
      <c r="C137" s="60">
        <v>1000000</v>
      </c>
      <c r="D137" s="485"/>
      <c r="E137" s="508">
        <f t="shared" si="2"/>
        <v>1000000</v>
      </c>
      <c r="F137" s="508">
        <f t="shared" si="2"/>
        <v>1000000</v>
      </c>
    </row>
    <row r="138" spans="1:6" ht="15.75">
      <c r="A138" s="12" t="s">
        <v>38</v>
      </c>
      <c r="B138" s="4" t="s">
        <v>39</v>
      </c>
      <c r="C138" s="60">
        <v>1000000</v>
      </c>
      <c r="D138" s="485"/>
      <c r="E138" s="508">
        <f t="shared" si="2"/>
        <v>1000000</v>
      </c>
      <c r="F138" s="508">
        <f t="shared" si="2"/>
        <v>1000000</v>
      </c>
    </row>
    <row r="139" spans="1:6" ht="15.75">
      <c r="A139" s="140" t="s">
        <v>170</v>
      </c>
      <c r="B139" s="6"/>
      <c r="C139" s="61">
        <f>SUM(C136:C138)</f>
        <v>2200000</v>
      </c>
      <c r="D139" s="486">
        <f>SUM(D136:D138)</f>
        <v>0</v>
      </c>
      <c r="E139" s="61">
        <f>SUM(E136:E138)</f>
        <v>2200000</v>
      </c>
      <c r="F139" s="61">
        <f>SUM(F136:F138)</f>
        <v>2200000</v>
      </c>
    </row>
    <row r="140" spans="1:6" ht="15.75">
      <c r="A140" s="12"/>
      <c r="B140" s="101" t="s">
        <v>50</v>
      </c>
      <c r="C140" s="60"/>
      <c r="D140" s="485"/>
      <c r="E140" s="508"/>
      <c r="F140" s="508"/>
    </row>
    <row r="141" spans="1:6" ht="15.75">
      <c r="A141" s="12" t="s">
        <v>51</v>
      </c>
      <c r="B141" s="4" t="s">
        <v>52</v>
      </c>
      <c r="C141" s="60">
        <v>150000</v>
      </c>
      <c r="D141" s="485"/>
      <c r="E141" s="508">
        <f aca="true" t="shared" si="3" ref="E141:F143">C141+D141</f>
        <v>150000</v>
      </c>
      <c r="F141" s="508">
        <f t="shared" si="3"/>
        <v>150000</v>
      </c>
    </row>
    <row r="142" spans="1:6" ht="15.75">
      <c r="A142" s="12" t="s">
        <v>53</v>
      </c>
      <c r="B142" s="4" t="s">
        <v>54</v>
      </c>
      <c r="C142" s="60">
        <v>100000</v>
      </c>
      <c r="D142" s="485"/>
      <c r="E142" s="508">
        <f t="shared" si="3"/>
        <v>100000</v>
      </c>
      <c r="F142" s="508">
        <f t="shared" si="3"/>
        <v>100000</v>
      </c>
    </row>
    <row r="143" spans="1:6" ht="15.75">
      <c r="A143" s="85">
        <v>2210504</v>
      </c>
      <c r="B143" s="56" t="s">
        <v>341</v>
      </c>
      <c r="C143" s="60">
        <v>2000000</v>
      </c>
      <c r="D143" s="485"/>
      <c r="E143" s="508">
        <f t="shared" si="3"/>
        <v>2000000</v>
      </c>
      <c r="F143" s="508">
        <f t="shared" si="3"/>
        <v>2000000</v>
      </c>
    </row>
    <row r="144" spans="1:6" ht="15.75">
      <c r="A144" s="140" t="s">
        <v>170</v>
      </c>
      <c r="B144" s="6"/>
      <c r="C144" s="61">
        <f>SUM(C141:C143)</f>
        <v>2250000</v>
      </c>
      <c r="D144" s="486">
        <f>SUM(D141:D143)</f>
        <v>0</v>
      </c>
      <c r="E144" s="61">
        <f>SUM(E141:E143)</f>
        <v>2250000</v>
      </c>
      <c r="F144" s="61">
        <f>SUM(F141:F143)</f>
        <v>2250000</v>
      </c>
    </row>
    <row r="145" spans="1:6" ht="15.75">
      <c r="A145" s="12"/>
      <c r="B145" s="101" t="s">
        <v>68</v>
      </c>
      <c r="C145" s="60"/>
      <c r="D145" s="485"/>
      <c r="E145" s="508"/>
      <c r="F145" s="508"/>
    </row>
    <row r="146" spans="1:6" ht="15.75">
      <c r="A146" s="12" t="s">
        <v>66</v>
      </c>
      <c r="B146" s="4" t="s">
        <v>67</v>
      </c>
      <c r="C146" s="60">
        <v>200000</v>
      </c>
      <c r="D146" s="485"/>
      <c r="E146" s="508">
        <f aca="true" t="shared" si="4" ref="E146:F151">C146+D146</f>
        <v>200000</v>
      </c>
      <c r="F146" s="508">
        <f t="shared" si="4"/>
        <v>200000</v>
      </c>
    </row>
    <row r="147" spans="1:6" ht="15.75">
      <c r="A147" s="12" t="s">
        <v>69</v>
      </c>
      <c r="B147" s="4" t="s">
        <v>70</v>
      </c>
      <c r="C147" s="60">
        <v>100000</v>
      </c>
      <c r="D147" s="485"/>
      <c r="E147" s="508">
        <f t="shared" si="4"/>
        <v>100000</v>
      </c>
      <c r="F147" s="508">
        <f t="shared" si="4"/>
        <v>100000</v>
      </c>
    </row>
    <row r="148" spans="1:6" ht="15.75">
      <c r="A148" s="12" t="s">
        <v>73</v>
      </c>
      <c r="B148" s="4" t="s">
        <v>74</v>
      </c>
      <c r="C148" s="60">
        <v>100000</v>
      </c>
      <c r="D148" s="485"/>
      <c r="E148" s="508">
        <f t="shared" si="4"/>
        <v>100000</v>
      </c>
      <c r="F148" s="508">
        <f t="shared" si="4"/>
        <v>100000</v>
      </c>
    </row>
    <row r="149" spans="1:6" ht="15.75">
      <c r="A149" s="12" t="s">
        <v>75</v>
      </c>
      <c r="B149" s="4" t="s">
        <v>76</v>
      </c>
      <c r="C149" s="60">
        <v>500000</v>
      </c>
      <c r="D149" s="485"/>
      <c r="E149" s="508">
        <f t="shared" si="4"/>
        <v>500000</v>
      </c>
      <c r="F149" s="508">
        <f t="shared" si="4"/>
        <v>500000</v>
      </c>
    </row>
    <row r="150" spans="1:6" ht="15.75">
      <c r="A150" s="85">
        <v>2210711</v>
      </c>
      <c r="B150" s="4" t="s">
        <v>331</v>
      </c>
      <c r="C150" s="60">
        <v>525000</v>
      </c>
      <c r="D150" s="485"/>
      <c r="E150" s="508">
        <f t="shared" si="4"/>
        <v>525000</v>
      </c>
      <c r="F150" s="508">
        <f t="shared" si="4"/>
        <v>525000</v>
      </c>
    </row>
    <row r="151" spans="1:6" ht="15.75">
      <c r="A151" s="85">
        <v>2210712</v>
      </c>
      <c r="B151" s="4" t="s">
        <v>1004</v>
      </c>
      <c r="C151" s="60">
        <v>350000</v>
      </c>
      <c r="D151" s="485"/>
      <c r="E151" s="508">
        <f t="shared" si="4"/>
        <v>350000</v>
      </c>
      <c r="F151" s="508">
        <f t="shared" si="4"/>
        <v>350000</v>
      </c>
    </row>
    <row r="152" spans="1:6" ht="15.75">
      <c r="A152" s="140" t="s">
        <v>170</v>
      </c>
      <c r="B152" s="6"/>
      <c r="C152" s="61">
        <f>SUM(C146:C151)</f>
        <v>1775000</v>
      </c>
      <c r="D152" s="486">
        <f>SUM(D146:D151)</f>
        <v>0</v>
      </c>
      <c r="E152" s="61">
        <f>SUM(E146:E151)</f>
        <v>1775000</v>
      </c>
      <c r="F152" s="61">
        <f>SUM(F146:F151)</f>
        <v>1775000</v>
      </c>
    </row>
    <row r="153" spans="1:6" ht="15.75">
      <c r="A153" s="12"/>
      <c r="B153" s="101" t="s">
        <v>84</v>
      </c>
      <c r="C153" s="60"/>
      <c r="D153" s="485"/>
      <c r="E153" s="508"/>
      <c r="F153" s="508"/>
    </row>
    <row r="154" spans="1:6" ht="15.75">
      <c r="A154" s="12" t="s">
        <v>82</v>
      </c>
      <c r="B154" s="4" t="s">
        <v>83</v>
      </c>
      <c r="C154" s="60">
        <v>450000</v>
      </c>
      <c r="D154" s="485"/>
      <c r="E154" s="508">
        <f>C154+D154</f>
        <v>450000</v>
      </c>
      <c r="F154" s="508">
        <f>D154+E154</f>
        <v>450000</v>
      </c>
    </row>
    <row r="155" spans="1:6" ht="15.75">
      <c r="A155" s="12" t="s">
        <v>85</v>
      </c>
      <c r="B155" s="4" t="s">
        <v>86</v>
      </c>
      <c r="C155" s="60">
        <v>750000</v>
      </c>
      <c r="D155" s="485"/>
      <c r="E155" s="508">
        <f>C155+D155</f>
        <v>750000</v>
      </c>
      <c r="F155" s="508">
        <f>D155+E155</f>
        <v>750000</v>
      </c>
    </row>
    <row r="156" spans="1:6" ht="15.75">
      <c r="A156" s="140" t="s">
        <v>170</v>
      </c>
      <c r="B156" s="6"/>
      <c r="C156" s="61">
        <f>SUM(C154:C155)</f>
        <v>1200000</v>
      </c>
      <c r="D156" s="486">
        <f>SUM(D154:D155)</f>
        <v>0</v>
      </c>
      <c r="E156" s="61">
        <f>SUM(E154:E155)</f>
        <v>1200000</v>
      </c>
      <c r="F156" s="61">
        <f>SUM(F154:F155)</f>
        <v>1200000</v>
      </c>
    </row>
    <row r="157" spans="1:6" ht="15.75">
      <c r="A157" s="12"/>
      <c r="B157" s="101" t="s">
        <v>124</v>
      </c>
      <c r="C157" s="60"/>
      <c r="D157" s="485"/>
      <c r="E157" s="508"/>
      <c r="F157" s="508"/>
    </row>
    <row r="158" spans="1:6" ht="15.75">
      <c r="A158" s="12" t="s">
        <v>122</v>
      </c>
      <c r="B158" s="4" t="s">
        <v>123</v>
      </c>
      <c r="C158" s="60">
        <v>700000</v>
      </c>
      <c r="D158" s="485"/>
      <c r="E158" s="508">
        <f aca="true" t="shared" si="5" ref="E158:F160">C158+D158</f>
        <v>700000</v>
      </c>
      <c r="F158" s="508">
        <f t="shared" si="5"/>
        <v>700000</v>
      </c>
    </row>
    <row r="159" spans="1:6" ht="15.75">
      <c r="A159" s="12" t="s">
        <v>125</v>
      </c>
      <c r="B159" s="4" t="s">
        <v>126</v>
      </c>
      <c r="C159" s="60">
        <v>350000</v>
      </c>
      <c r="D159" s="485"/>
      <c r="E159" s="508">
        <f t="shared" si="5"/>
        <v>350000</v>
      </c>
      <c r="F159" s="508">
        <f t="shared" si="5"/>
        <v>350000</v>
      </c>
    </row>
    <row r="160" spans="1:6" ht="15.75">
      <c r="A160" s="12" t="s">
        <v>127</v>
      </c>
      <c r="B160" s="4" t="s">
        <v>128</v>
      </c>
      <c r="C160" s="60">
        <v>200000</v>
      </c>
      <c r="D160" s="485"/>
      <c r="E160" s="508">
        <f t="shared" si="5"/>
        <v>200000</v>
      </c>
      <c r="F160" s="508">
        <f t="shared" si="5"/>
        <v>200000</v>
      </c>
    </row>
    <row r="161" spans="1:6" ht="15.75">
      <c r="A161" s="140" t="s">
        <v>170</v>
      </c>
      <c r="B161" s="6"/>
      <c r="C161" s="61">
        <f>SUM(C158:C160)</f>
        <v>1250000</v>
      </c>
      <c r="D161" s="486">
        <f>SUM(D158:D160)</f>
        <v>0</v>
      </c>
      <c r="E161" s="61">
        <f>SUM(E158:E160)</f>
        <v>1250000</v>
      </c>
      <c r="F161" s="61">
        <f>SUM(F158:F160)</f>
        <v>1250000</v>
      </c>
    </row>
    <row r="162" spans="1:6" ht="15.75">
      <c r="A162" s="12"/>
      <c r="B162" s="101" t="s">
        <v>136</v>
      </c>
      <c r="C162" s="60"/>
      <c r="D162" s="485"/>
      <c r="E162" s="508"/>
      <c r="F162" s="508"/>
    </row>
    <row r="163" spans="1:6" ht="15.75">
      <c r="A163" s="12">
        <v>2211306</v>
      </c>
      <c r="B163" s="4" t="s">
        <v>140</v>
      </c>
      <c r="C163" s="60">
        <v>150000</v>
      </c>
      <c r="D163" s="485">
        <v>164850</v>
      </c>
      <c r="E163" s="508">
        <f>C163+D163</f>
        <v>314850</v>
      </c>
      <c r="F163" s="508">
        <v>300000</v>
      </c>
    </row>
    <row r="164" spans="1:6" ht="15.75">
      <c r="A164" s="12"/>
      <c r="B164" s="99" t="s">
        <v>488</v>
      </c>
      <c r="C164" s="60">
        <v>500000</v>
      </c>
      <c r="D164" s="485">
        <v>510000</v>
      </c>
      <c r="E164" s="508">
        <f>C164+D164</f>
        <v>1010000</v>
      </c>
      <c r="F164" s="508"/>
    </row>
    <row r="165" spans="1:6" ht="15.75">
      <c r="A165" s="140" t="s">
        <v>170</v>
      </c>
      <c r="B165" s="6"/>
      <c r="C165" s="61">
        <f>SUM(C163:C164)</f>
        <v>650000</v>
      </c>
      <c r="D165" s="486">
        <f>SUM(D163:D164)</f>
        <v>674850</v>
      </c>
      <c r="E165" s="61">
        <f>SUM(E163:E164)</f>
        <v>1324850</v>
      </c>
      <c r="F165" s="61">
        <f>SUM(F163:F164)</f>
        <v>300000</v>
      </c>
    </row>
    <row r="166" spans="1:6" s="62" customFormat="1" ht="15.75">
      <c r="A166" s="140"/>
      <c r="B166" s="140" t="s">
        <v>862</v>
      </c>
      <c r="C166" s="61">
        <f>SUM(C165,C161,C156,C152,C144,C139,C134)</f>
        <v>9375000</v>
      </c>
      <c r="D166" s="486">
        <f>SUM(D165,D161,D156,D152,D144,D139,D134)</f>
        <v>674850</v>
      </c>
      <c r="E166" s="61">
        <f>SUM(E165,E161,E156,E152,E144,E139,E134)</f>
        <v>10049850</v>
      </c>
      <c r="F166" s="61">
        <f>SUM(F165,F161,F156,F152,F144,F139,F134)</f>
        <v>9025000</v>
      </c>
    </row>
    <row r="167" spans="1:6" s="62" customFormat="1" ht="15.75">
      <c r="A167" s="179">
        <v>1050203</v>
      </c>
      <c r="B167" s="64" t="s">
        <v>706</v>
      </c>
      <c r="C167" s="63"/>
      <c r="D167" s="487"/>
      <c r="E167" s="63"/>
      <c r="F167" s="63"/>
    </row>
    <row r="168" spans="1:6" ht="15.75">
      <c r="A168" s="12" t="s">
        <v>26</v>
      </c>
      <c r="B168" s="4" t="s">
        <v>27</v>
      </c>
      <c r="C168" s="60">
        <v>200000</v>
      </c>
      <c r="D168" s="485"/>
      <c r="E168" s="508">
        <f>C168+D168</f>
        <v>200000</v>
      </c>
      <c r="F168" s="508">
        <f>D168+E168</f>
        <v>200000</v>
      </c>
    </row>
    <row r="169" spans="1:6" ht="15.75">
      <c r="A169" s="12" t="s">
        <v>19</v>
      </c>
      <c r="B169" s="99" t="s">
        <v>20</v>
      </c>
      <c r="C169" s="60">
        <v>200000</v>
      </c>
      <c r="D169" s="485"/>
      <c r="E169" s="508">
        <f>C169+D169</f>
        <v>200000</v>
      </c>
      <c r="F169" s="508">
        <f>D169+E169</f>
        <v>200000</v>
      </c>
    </row>
    <row r="170" spans="1:6" ht="15.75">
      <c r="A170" s="140" t="s">
        <v>170</v>
      </c>
      <c r="B170" s="6"/>
      <c r="C170" s="61">
        <f>SUM(C168:C169)</f>
        <v>400000</v>
      </c>
      <c r="D170" s="486">
        <f>SUM(D168:D169)</f>
        <v>0</v>
      </c>
      <c r="E170" s="61">
        <f>SUM(E168:E169)</f>
        <v>400000</v>
      </c>
      <c r="F170" s="61">
        <f>SUM(F168:F169)</f>
        <v>400000</v>
      </c>
    </row>
    <row r="171" spans="1:6" ht="15.75">
      <c r="A171" s="12"/>
      <c r="B171" s="101" t="s">
        <v>35</v>
      </c>
      <c r="C171" s="60"/>
      <c r="D171" s="485"/>
      <c r="E171" s="508"/>
      <c r="F171" s="508"/>
    </row>
    <row r="172" spans="1:6" ht="15.75">
      <c r="A172" s="12" t="s">
        <v>33</v>
      </c>
      <c r="B172" s="4" t="s">
        <v>34</v>
      </c>
      <c r="C172" s="60">
        <v>500000</v>
      </c>
      <c r="D172" s="485"/>
      <c r="E172" s="508">
        <f>C172+D172</f>
        <v>500000</v>
      </c>
      <c r="F172" s="508">
        <f>D172+E172</f>
        <v>500000</v>
      </c>
    </row>
    <row r="173" spans="1:6" ht="15.75">
      <c r="A173" s="12" t="s">
        <v>36</v>
      </c>
      <c r="B173" s="4" t="s">
        <v>37</v>
      </c>
      <c r="C173" s="60">
        <v>2000000</v>
      </c>
      <c r="D173" s="485"/>
      <c r="E173" s="508">
        <f>C173+D173</f>
        <v>2000000</v>
      </c>
      <c r="F173" s="508">
        <f>D173+E173</f>
        <v>2000000</v>
      </c>
    </row>
    <row r="174" spans="1:6" ht="15.75">
      <c r="A174" s="12" t="s">
        <v>38</v>
      </c>
      <c r="B174" s="4" t="s">
        <v>39</v>
      </c>
      <c r="C174" s="60">
        <v>4000000</v>
      </c>
      <c r="D174" s="485">
        <v>6000000</v>
      </c>
      <c r="E174" s="508">
        <f>C174+D174</f>
        <v>10000000</v>
      </c>
      <c r="F174" s="508">
        <v>5000000</v>
      </c>
    </row>
    <row r="175" spans="1:6" ht="15.75">
      <c r="A175" s="140" t="s">
        <v>170</v>
      </c>
      <c r="B175" s="6"/>
      <c r="C175" s="61">
        <f>SUM(C172:C174)</f>
        <v>6500000</v>
      </c>
      <c r="D175" s="486">
        <f>SUM(D172:D174)</f>
        <v>6000000</v>
      </c>
      <c r="E175" s="61">
        <f>SUM(E172:E174)</f>
        <v>12500000</v>
      </c>
      <c r="F175" s="61">
        <f>SUM(F172:F174)</f>
        <v>7500000</v>
      </c>
    </row>
    <row r="176" spans="1:6" ht="15.75">
      <c r="A176" s="12"/>
      <c r="B176" s="101" t="s">
        <v>50</v>
      </c>
      <c r="C176" s="60"/>
      <c r="D176" s="485"/>
      <c r="E176" s="508"/>
      <c r="F176" s="508"/>
    </row>
    <row r="177" spans="1:6" ht="15.75">
      <c r="A177" s="12" t="s">
        <v>51</v>
      </c>
      <c r="B177" s="4" t="s">
        <v>52</v>
      </c>
      <c r="C177" s="60">
        <v>1000000</v>
      </c>
      <c r="D177" s="485">
        <v>4900000</v>
      </c>
      <c r="E177" s="508">
        <f>C177+D177</f>
        <v>5900000</v>
      </c>
      <c r="F177" s="508">
        <v>6000000</v>
      </c>
    </row>
    <row r="178" spans="1:6" ht="15.75">
      <c r="A178" s="85">
        <v>2210504</v>
      </c>
      <c r="B178" s="4" t="s">
        <v>332</v>
      </c>
      <c r="C178" s="60">
        <v>1500000</v>
      </c>
      <c r="D178" s="485">
        <v>1500000</v>
      </c>
      <c r="E178" s="508">
        <f>C178+D178</f>
        <v>3000000</v>
      </c>
      <c r="F178" s="508">
        <v>2000000</v>
      </c>
    </row>
    <row r="179" spans="1:6" ht="15.75">
      <c r="A179" s="12" t="s">
        <v>53</v>
      </c>
      <c r="B179" s="4" t="s">
        <v>54</v>
      </c>
      <c r="C179" s="60">
        <v>50000</v>
      </c>
      <c r="D179" s="485"/>
      <c r="E179" s="508">
        <f>C179+D179</f>
        <v>50000</v>
      </c>
      <c r="F179" s="508">
        <f>D179+E179</f>
        <v>50000</v>
      </c>
    </row>
    <row r="180" spans="1:6" ht="15.75">
      <c r="A180" s="140" t="s">
        <v>170</v>
      </c>
      <c r="B180" s="6"/>
      <c r="C180" s="61">
        <f>SUM(C177:C179)</f>
        <v>2550000</v>
      </c>
      <c r="D180" s="486">
        <f>SUM(D177:D179)</f>
        <v>6400000</v>
      </c>
      <c r="E180" s="61">
        <f>SUM(E177:E179)</f>
        <v>8950000</v>
      </c>
      <c r="F180" s="61">
        <f>SUM(F177:F179)</f>
        <v>8050000</v>
      </c>
    </row>
    <row r="181" spans="1:6" ht="15.75">
      <c r="A181" s="12"/>
      <c r="B181" s="101" t="s">
        <v>68</v>
      </c>
      <c r="C181" s="60"/>
      <c r="D181" s="485"/>
      <c r="E181" s="508"/>
      <c r="F181" s="508"/>
    </row>
    <row r="182" spans="1:6" ht="15.75">
      <c r="A182" s="12" t="s">
        <v>66</v>
      </c>
      <c r="B182" s="4" t="s">
        <v>67</v>
      </c>
      <c r="C182" s="60">
        <v>200000</v>
      </c>
      <c r="D182" s="485"/>
      <c r="E182" s="508">
        <f>C182+D182</f>
        <v>200000</v>
      </c>
      <c r="F182" s="508">
        <v>200000</v>
      </c>
    </row>
    <row r="183" spans="1:6" ht="15.75">
      <c r="A183" s="505" t="s">
        <v>80</v>
      </c>
      <c r="B183" s="505" t="s">
        <v>81</v>
      </c>
      <c r="C183" s="60">
        <v>0</v>
      </c>
      <c r="D183" s="485">
        <v>1900000</v>
      </c>
      <c r="E183" s="508">
        <f>C183+D183</f>
        <v>1900000</v>
      </c>
      <c r="F183" s="508">
        <v>1900000</v>
      </c>
    </row>
    <row r="184" spans="1:6" ht="15.75">
      <c r="A184" s="12" t="s">
        <v>75</v>
      </c>
      <c r="B184" s="4" t="s">
        <v>76</v>
      </c>
      <c r="C184" s="60">
        <v>900000</v>
      </c>
      <c r="D184" s="485"/>
      <c r="E184" s="508">
        <f>C184+D184</f>
        <v>900000</v>
      </c>
      <c r="F184" s="508">
        <v>900000</v>
      </c>
    </row>
    <row r="185" spans="1:6" ht="15.75">
      <c r="A185" s="85">
        <v>2210711</v>
      </c>
      <c r="B185" s="4" t="s">
        <v>342</v>
      </c>
      <c r="C185" s="60">
        <v>550000</v>
      </c>
      <c r="D185" s="485"/>
      <c r="E185" s="508">
        <f>C185+D185</f>
        <v>550000</v>
      </c>
      <c r="F185" s="508">
        <v>550000</v>
      </c>
    </row>
    <row r="186" spans="1:6" ht="15.75">
      <c r="A186" s="85">
        <v>2210712</v>
      </c>
      <c r="B186" s="4" t="s">
        <v>79</v>
      </c>
      <c r="C186" s="60">
        <v>750000</v>
      </c>
      <c r="D186" s="485"/>
      <c r="E186" s="508">
        <f>C186+D186</f>
        <v>750000</v>
      </c>
      <c r="F186" s="508">
        <v>750000</v>
      </c>
    </row>
    <row r="187" spans="1:6" ht="15.75">
      <c r="A187" s="140" t="s">
        <v>170</v>
      </c>
      <c r="B187" s="6"/>
      <c r="C187" s="61">
        <f>SUM(C182:C186)</f>
        <v>2400000</v>
      </c>
      <c r="D187" s="486">
        <f>SUM(D182:D186)</f>
        <v>1900000</v>
      </c>
      <c r="E187" s="61">
        <f>SUM(E182:E186)</f>
        <v>4300000</v>
      </c>
      <c r="F187" s="61">
        <f>SUM(F182:F186)</f>
        <v>4300000</v>
      </c>
    </row>
    <row r="188" spans="1:6" ht="15.75">
      <c r="A188" s="12"/>
      <c r="B188" s="101" t="s">
        <v>84</v>
      </c>
      <c r="C188" s="60"/>
      <c r="D188" s="485"/>
      <c r="E188" s="508"/>
      <c r="F188" s="508"/>
    </row>
    <row r="189" spans="1:6" ht="15.75">
      <c r="A189" s="12" t="s">
        <v>82</v>
      </c>
      <c r="B189" s="4" t="s">
        <v>83</v>
      </c>
      <c r="C189" s="60">
        <v>750000</v>
      </c>
      <c r="D189" s="485">
        <v>1200000</v>
      </c>
      <c r="E189" s="508">
        <f>C189+D189</f>
        <v>1950000</v>
      </c>
      <c r="F189" s="508">
        <v>500000</v>
      </c>
    </row>
    <row r="190" spans="1:6" ht="15.75">
      <c r="A190" s="12" t="s">
        <v>85</v>
      </c>
      <c r="B190" s="4" t="s">
        <v>86</v>
      </c>
      <c r="C190" s="60">
        <v>500000</v>
      </c>
      <c r="D190" s="485">
        <v>107000</v>
      </c>
      <c r="E190" s="508">
        <f>C190+D190</f>
        <v>607000</v>
      </c>
      <c r="F190" s="508">
        <v>300000</v>
      </c>
    </row>
    <row r="191" spans="1:6" ht="15.75">
      <c r="A191" s="140" t="s">
        <v>170</v>
      </c>
      <c r="B191" s="6"/>
      <c r="C191" s="61">
        <f>SUM(C189:C190)</f>
        <v>1250000</v>
      </c>
      <c r="D191" s="486">
        <f>SUM(D189:D190)</f>
        <v>1307000</v>
      </c>
      <c r="E191" s="61">
        <f>SUM(E189:E190)</f>
        <v>2557000</v>
      </c>
      <c r="F191" s="61">
        <f>SUM(F189:F190)</f>
        <v>800000</v>
      </c>
    </row>
    <row r="192" spans="1:6" ht="15.75">
      <c r="A192" s="12"/>
      <c r="B192" s="101" t="s">
        <v>124</v>
      </c>
      <c r="C192" s="60"/>
      <c r="D192" s="485"/>
      <c r="E192" s="508"/>
      <c r="F192" s="508"/>
    </row>
    <row r="193" spans="1:6" ht="15.75">
      <c r="A193" s="12" t="s">
        <v>122</v>
      </c>
      <c r="B193" s="4" t="s">
        <v>123</v>
      </c>
      <c r="C193" s="60">
        <v>750000</v>
      </c>
      <c r="D193" s="485">
        <v>1250000</v>
      </c>
      <c r="E193" s="508">
        <f>C193+D193</f>
        <v>2000000</v>
      </c>
      <c r="F193" s="508">
        <v>2000000</v>
      </c>
    </row>
    <row r="194" spans="1:6" ht="15.75">
      <c r="A194" s="12" t="s">
        <v>125</v>
      </c>
      <c r="B194" s="4" t="s">
        <v>126</v>
      </c>
      <c r="C194" s="60">
        <v>850000</v>
      </c>
      <c r="D194" s="485">
        <v>1000000</v>
      </c>
      <c r="E194" s="508">
        <f>C194+D194</f>
        <v>1850000</v>
      </c>
      <c r="F194" s="508">
        <v>1000000</v>
      </c>
    </row>
    <row r="195" spans="1:6" ht="15.75">
      <c r="A195" s="12" t="s">
        <v>127</v>
      </c>
      <c r="B195" s="4" t="s">
        <v>128</v>
      </c>
      <c r="C195" s="60">
        <v>100000</v>
      </c>
      <c r="D195" s="485">
        <v>421000</v>
      </c>
      <c r="E195" s="508">
        <f>C195+D195</f>
        <v>521000</v>
      </c>
      <c r="F195" s="508">
        <v>200000</v>
      </c>
    </row>
    <row r="196" spans="1:6" ht="15.75">
      <c r="A196" s="140" t="s">
        <v>170</v>
      </c>
      <c r="B196" s="6"/>
      <c r="C196" s="61">
        <f>SUM(C193:C195)</f>
        <v>1700000</v>
      </c>
      <c r="D196" s="486">
        <f>SUM(D193:D195)</f>
        <v>2671000</v>
      </c>
      <c r="E196" s="61">
        <f>SUM(E193:E195)</f>
        <v>4371000</v>
      </c>
      <c r="F196" s="61">
        <f>SUM(F193:F195)</f>
        <v>3200000</v>
      </c>
    </row>
    <row r="197" spans="1:6" ht="15.75">
      <c r="A197" s="12"/>
      <c r="B197" s="101" t="s">
        <v>136</v>
      </c>
      <c r="C197" s="60"/>
      <c r="D197" s="485"/>
      <c r="E197" s="508"/>
      <c r="F197" s="508"/>
    </row>
    <row r="198" spans="1:6" s="62" customFormat="1" ht="15.75">
      <c r="A198" s="85">
        <v>3111002</v>
      </c>
      <c r="B198" s="56" t="s">
        <v>327</v>
      </c>
      <c r="C198" s="63">
        <v>5000000</v>
      </c>
      <c r="D198" s="487"/>
      <c r="E198" s="63">
        <f>C198+D198</f>
        <v>5000000</v>
      </c>
      <c r="F198" s="63">
        <v>0</v>
      </c>
    </row>
    <row r="199" spans="1:6" s="62" customFormat="1" ht="15.75">
      <c r="A199" s="85" t="s">
        <v>139</v>
      </c>
      <c r="B199" s="56" t="s">
        <v>140</v>
      </c>
      <c r="C199" s="63">
        <v>100000</v>
      </c>
      <c r="D199" s="487"/>
      <c r="E199" s="63">
        <f>C199+D199</f>
        <v>100000</v>
      </c>
      <c r="F199" s="63">
        <v>100000</v>
      </c>
    </row>
    <row r="200" spans="1:6" s="62" customFormat="1" ht="15.75">
      <c r="A200" s="85"/>
      <c r="B200" s="56" t="s">
        <v>343</v>
      </c>
      <c r="C200" s="63">
        <v>20000000</v>
      </c>
      <c r="D200" s="487">
        <v>26000000</v>
      </c>
      <c r="E200" s="63">
        <f>C200+D200</f>
        <v>46000000</v>
      </c>
      <c r="F200" s="63">
        <v>30000000</v>
      </c>
    </row>
    <row r="201" spans="1:6" s="62" customFormat="1" ht="15.75">
      <c r="A201" s="140" t="s">
        <v>170</v>
      </c>
      <c r="B201" s="6"/>
      <c r="C201" s="61">
        <f>SUM(C198:C200)</f>
        <v>25100000</v>
      </c>
      <c r="D201" s="486">
        <f>SUM(D198:D200)</f>
        <v>26000000</v>
      </c>
      <c r="E201" s="61">
        <f>SUM(E198:E200)</f>
        <v>51100000</v>
      </c>
      <c r="F201" s="61">
        <f>SUM(F198:F200)</f>
        <v>30100000</v>
      </c>
    </row>
    <row r="202" spans="1:6" s="62" customFormat="1" ht="15.75">
      <c r="A202" s="85"/>
      <c r="B202" s="66" t="s">
        <v>344</v>
      </c>
      <c r="C202" s="63"/>
      <c r="D202" s="487"/>
      <c r="E202" s="63"/>
      <c r="F202" s="63"/>
    </row>
    <row r="203" spans="1:6" s="62" customFormat="1" ht="15.75">
      <c r="A203" s="85">
        <v>2211016</v>
      </c>
      <c r="B203" s="56" t="s">
        <v>345</v>
      </c>
      <c r="C203" s="63">
        <v>1500000</v>
      </c>
      <c r="D203" s="487">
        <v>1500000</v>
      </c>
      <c r="E203" s="63">
        <f>C203+D203</f>
        <v>3000000</v>
      </c>
      <c r="F203" s="63">
        <v>0</v>
      </c>
    </row>
    <row r="204" spans="1:6" ht="15.75">
      <c r="A204" s="140" t="s">
        <v>170</v>
      </c>
      <c r="B204" s="6"/>
      <c r="C204" s="61">
        <f>SUM(C203)</f>
        <v>1500000</v>
      </c>
      <c r="D204" s="486">
        <f>SUM(D203)</f>
        <v>1500000</v>
      </c>
      <c r="E204" s="61">
        <f>SUM(E203)</f>
        <v>3000000</v>
      </c>
      <c r="F204" s="61">
        <f>SUM(F203)</f>
        <v>0</v>
      </c>
    </row>
    <row r="205" spans="1:6" s="62" customFormat="1" ht="15.75">
      <c r="A205" s="85"/>
      <c r="B205" s="66" t="s">
        <v>131</v>
      </c>
      <c r="C205" s="63"/>
      <c r="D205" s="487"/>
      <c r="E205" s="63"/>
      <c r="F205" s="63"/>
    </row>
    <row r="206" spans="1:6" s="62" customFormat="1" ht="15.75">
      <c r="A206" s="85" t="s">
        <v>129</v>
      </c>
      <c r="B206" s="56" t="s">
        <v>130</v>
      </c>
      <c r="C206" s="63">
        <v>2500000</v>
      </c>
      <c r="D206" s="487">
        <v>3000000</v>
      </c>
      <c r="E206" s="63">
        <f>C206+D206</f>
        <v>5500000</v>
      </c>
      <c r="F206" s="63">
        <v>2000000</v>
      </c>
    </row>
    <row r="207" spans="1:6" s="62" customFormat="1" ht="15.75">
      <c r="A207" s="85" t="s">
        <v>132</v>
      </c>
      <c r="B207" s="56" t="s">
        <v>133</v>
      </c>
      <c r="C207" s="63">
        <v>100000</v>
      </c>
      <c r="D207" s="487"/>
      <c r="E207" s="63">
        <f>C207+D207</f>
        <v>100000</v>
      </c>
      <c r="F207" s="63">
        <v>200000</v>
      </c>
    </row>
    <row r="208" spans="1:6" s="62" customFormat="1" ht="15.75">
      <c r="A208" s="140" t="s">
        <v>170</v>
      </c>
      <c r="B208" s="6"/>
      <c r="C208" s="61">
        <f>SUM(C206:C207)</f>
        <v>2600000</v>
      </c>
      <c r="D208" s="486">
        <f>SUM(D206:D207)</f>
        <v>3000000</v>
      </c>
      <c r="E208" s="61">
        <f>SUM(E206:E207)</f>
        <v>5600000</v>
      </c>
      <c r="F208" s="61">
        <f>SUM(F206:F207)</f>
        <v>2200000</v>
      </c>
    </row>
    <row r="209" spans="1:6" s="62" customFormat="1" ht="15.75">
      <c r="A209" s="187"/>
      <c r="B209" s="66" t="s">
        <v>151</v>
      </c>
      <c r="C209" s="63"/>
      <c r="D209" s="487"/>
      <c r="E209" s="63"/>
      <c r="F209" s="63"/>
    </row>
    <row r="210" spans="1:6" s="62" customFormat="1" ht="15.75">
      <c r="A210" s="85" t="s">
        <v>149</v>
      </c>
      <c r="B210" s="56" t="s">
        <v>150</v>
      </c>
      <c r="C210" s="63">
        <v>2000000</v>
      </c>
      <c r="D210" s="487">
        <v>1000000</v>
      </c>
      <c r="E210" s="63">
        <f>C210+D210</f>
        <v>3000000</v>
      </c>
      <c r="F210" s="63">
        <v>1500000</v>
      </c>
    </row>
    <row r="211" spans="1:6" s="62" customFormat="1" ht="15.75">
      <c r="A211" s="140" t="s">
        <v>170</v>
      </c>
      <c r="B211" s="6"/>
      <c r="C211" s="61">
        <f>SUM(C210)</f>
        <v>2000000</v>
      </c>
      <c r="D211" s="486">
        <f>SUM(D210)</f>
        <v>1000000</v>
      </c>
      <c r="E211" s="61">
        <f>SUM(E210)</f>
        <v>3000000</v>
      </c>
      <c r="F211" s="61">
        <f>SUM(F210)</f>
        <v>1500000</v>
      </c>
    </row>
    <row r="212" spans="1:6" ht="15.75">
      <c r="A212" s="140"/>
      <c r="B212" s="6" t="s">
        <v>925</v>
      </c>
      <c r="C212" s="61">
        <f>SUM(C211,C208,C204,C201,C196,C191,C187,C180,C175,C170)</f>
        <v>46000000</v>
      </c>
      <c r="D212" s="486">
        <f>SUM(D211,D208,D204,D201,D196,D191,D187,D180,D175,D170)</f>
        <v>49778000</v>
      </c>
      <c r="E212" s="61">
        <f>SUM(E211,E208,E204,E201,E196,E191,E187,E180,E175,E170)</f>
        <v>95778000</v>
      </c>
      <c r="F212" s="61">
        <f>SUM(F211,F208,F204,F201,F196,F191,F187,F180,F175,F170)</f>
        <v>58050000</v>
      </c>
    </row>
    <row r="213" spans="1:6" s="62" customFormat="1" ht="15.75" hidden="1">
      <c r="A213" s="179"/>
      <c r="B213" s="64" t="s">
        <v>763</v>
      </c>
      <c r="C213" s="104"/>
      <c r="D213" s="487"/>
      <c r="E213" s="63"/>
      <c r="F213" s="63"/>
    </row>
    <row r="214" spans="1:6" s="62" customFormat="1" ht="15.75" hidden="1">
      <c r="A214" s="179"/>
      <c r="B214" s="56" t="s">
        <v>923</v>
      </c>
      <c r="C214" s="63" t="e">
        <f>'PROJECTS DETAILS'!#REF!</f>
        <v>#REF!</v>
      </c>
      <c r="D214" s="487" t="e">
        <f>'PROJECTS DETAILS'!#REF!</f>
        <v>#REF!</v>
      </c>
      <c r="E214" s="63"/>
      <c r="F214" s="63"/>
    </row>
    <row r="215" spans="1:6" s="62" customFormat="1" ht="15.75" hidden="1">
      <c r="A215" s="140"/>
      <c r="B215" s="6" t="s">
        <v>924</v>
      </c>
      <c r="C215" s="61" t="e">
        <f>SUM(C214)</f>
        <v>#REF!</v>
      </c>
      <c r="D215" s="486" t="e">
        <f>SUM(D214)</f>
        <v>#REF!</v>
      </c>
      <c r="E215" s="61">
        <f>SUM(E214)</f>
        <v>0</v>
      </c>
      <c r="F215" s="61">
        <f>SUM(F214)</f>
        <v>0</v>
      </c>
    </row>
    <row r="216" spans="1:6" s="62" customFormat="1" ht="15.75">
      <c r="A216" s="140"/>
      <c r="B216" s="6" t="s">
        <v>707</v>
      </c>
      <c r="C216" s="61" t="e">
        <f>SUM(C215,C212)</f>
        <v>#REF!</v>
      </c>
      <c r="D216" s="486" t="e">
        <f>SUM(D215,D212)</f>
        <v>#REF!</v>
      </c>
      <c r="E216" s="61">
        <f>SUM(E215,E212)</f>
        <v>95778000</v>
      </c>
      <c r="F216" s="61">
        <f>SUM(F215,F212)</f>
        <v>58050000</v>
      </c>
    </row>
    <row r="217" spans="1:6" ht="15.75">
      <c r="A217" s="140"/>
      <c r="B217" s="6" t="s">
        <v>709</v>
      </c>
      <c r="C217" s="61">
        <f>SUM(C212,C166,C127)</f>
        <v>65775000</v>
      </c>
      <c r="D217" s="486">
        <f>SUM(D212,D166,D127)</f>
        <v>52952850</v>
      </c>
      <c r="E217" s="61">
        <f>SUM(E216,E166,E127)</f>
        <v>118727850</v>
      </c>
      <c r="F217" s="61">
        <f>SUM(F216,F166,F127)</f>
        <v>79975000</v>
      </c>
    </row>
    <row r="218" spans="1:6" ht="15.75">
      <c r="A218" s="140"/>
      <c r="B218" s="140" t="s">
        <v>785</v>
      </c>
      <c r="C218" s="61">
        <f>SUM(C217,C93,)</f>
        <v>503320000</v>
      </c>
      <c r="D218" s="486">
        <f>SUM(D217,D93,)</f>
        <v>138474181</v>
      </c>
      <c r="E218" s="61">
        <f>SUM(E217,E93,)</f>
        <v>641794181</v>
      </c>
      <c r="F218" s="61">
        <f>SUM(F217,F93,)</f>
        <v>489787366</v>
      </c>
    </row>
    <row r="219" spans="1:6" ht="15.75">
      <c r="A219" s="140"/>
      <c r="B219" s="140" t="s">
        <v>784</v>
      </c>
      <c r="C219" s="61">
        <f>SUM(C218,C14)</f>
        <v>1041952878</v>
      </c>
      <c r="D219" s="486">
        <f>SUM(D218,D14)</f>
        <v>138474181</v>
      </c>
      <c r="E219" s="61">
        <f>SUM(E218,E14)</f>
        <v>1180427059</v>
      </c>
      <c r="F219" s="61">
        <f>SUM(F218,F14)</f>
        <v>1036162899</v>
      </c>
    </row>
    <row r="220" spans="1:6" ht="15.75">
      <c r="A220" s="140"/>
      <c r="B220" s="140" t="s">
        <v>787</v>
      </c>
      <c r="C220" s="61" t="e">
        <f>SUM(C215,C130)</f>
        <v>#REF!</v>
      </c>
      <c r="D220" s="486" t="e">
        <f>SUM(D215,D130)</f>
        <v>#REF!</v>
      </c>
      <c r="E220" s="61">
        <f>SUM(E215,E130)</f>
        <v>0</v>
      </c>
      <c r="F220" s="61">
        <f>SUM(F215,F130)</f>
        <v>0</v>
      </c>
    </row>
    <row r="221" spans="1:6" ht="15.75">
      <c r="A221" s="140"/>
      <c r="B221" s="140" t="s">
        <v>788</v>
      </c>
      <c r="C221" s="61" t="e">
        <f>SUM(C219:C220)</f>
        <v>#REF!</v>
      </c>
      <c r="D221" s="486" t="e">
        <f>SUM(D219:D220)</f>
        <v>#REF!</v>
      </c>
      <c r="E221" s="61">
        <f>SUM(E219:E220)</f>
        <v>1180427059</v>
      </c>
      <c r="F221" s="61">
        <f>SUM(F219:F220)</f>
        <v>1036162899</v>
      </c>
    </row>
    <row r="222" spans="3:5" ht="15.75">
      <c r="C222" s="102">
        <v>110270000</v>
      </c>
      <c r="D222" s="484">
        <v>59599500</v>
      </c>
      <c r="E222" s="102">
        <v>169869500</v>
      </c>
    </row>
    <row r="223" spans="3:5" ht="15.75">
      <c r="C223" s="102">
        <f>C219+C222</f>
        <v>1152222878</v>
      </c>
      <c r="D223" s="102">
        <f>D219+D222</f>
        <v>198073681</v>
      </c>
      <c r="E223" s="102">
        <f>E219+E222</f>
        <v>1350296559</v>
      </c>
    </row>
  </sheetData>
  <sheetProtection/>
  <mergeCells count="2">
    <mergeCell ref="A2:B2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9" r:id="rId3"/>
  <rowBreaks count="2" manualBreakCount="2">
    <brk id="120" max="5" man="1"/>
    <brk id="179" max="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G160"/>
  <sheetViews>
    <sheetView view="pageBreakPreview" zoomScale="130" zoomScaleSheetLayoutView="130" workbookViewId="0" topLeftCell="A1">
      <pane ySplit="2" topLeftCell="A134" activePane="bottomLeft" state="frozen"/>
      <selection pane="topLeft" activeCell="E12" sqref="E12"/>
      <selection pane="bottomLeft" activeCell="A138" sqref="A138:IV153"/>
    </sheetView>
  </sheetViews>
  <sheetFormatPr defaultColWidth="9.140625" defaultRowHeight="15"/>
  <cols>
    <col min="1" max="1" width="12.57421875" style="54" customWidth="1"/>
    <col min="2" max="2" width="78.140625" style="54" customWidth="1"/>
    <col min="3" max="3" width="16.28125" style="102" hidden="1" customWidth="1"/>
    <col min="4" max="4" width="16.57421875" style="519" hidden="1" customWidth="1"/>
    <col min="5" max="5" width="18.28125" style="102" customWidth="1"/>
    <col min="6" max="6" width="24.57421875" style="0" customWidth="1"/>
  </cols>
  <sheetData>
    <row r="1" spans="1:3" ht="18.75">
      <c r="A1" s="925" t="s">
        <v>214</v>
      </c>
      <c r="B1" s="926"/>
      <c r="C1" s="927"/>
    </row>
    <row r="2" spans="1:6" ht="56.25">
      <c r="A2" s="917" t="s">
        <v>168</v>
      </c>
      <c r="B2" s="918"/>
      <c r="C2" s="435" t="s">
        <v>996</v>
      </c>
      <c r="D2" s="511" t="s">
        <v>995</v>
      </c>
      <c r="E2" s="568" t="s">
        <v>389</v>
      </c>
      <c r="F2" s="393" t="s">
        <v>1068</v>
      </c>
    </row>
    <row r="3" spans="1:6" s="98" customFormat="1" ht="15.75">
      <c r="A3" s="200">
        <v>10503</v>
      </c>
      <c r="B3" s="200" t="s">
        <v>710</v>
      </c>
      <c r="C3" s="434"/>
      <c r="D3" s="518"/>
      <c r="E3" s="508"/>
      <c r="F3" s="417"/>
    </row>
    <row r="4" spans="1:6" s="98" customFormat="1" ht="15.75">
      <c r="A4" s="200">
        <v>1050301</v>
      </c>
      <c r="B4" s="200" t="s">
        <v>711</v>
      </c>
      <c r="C4" s="110"/>
      <c r="D4" s="518"/>
      <c r="E4" s="508"/>
      <c r="F4" s="417"/>
    </row>
    <row r="5" spans="1:6" s="98" customFormat="1" ht="15.75">
      <c r="A5" s="202">
        <v>2200000</v>
      </c>
      <c r="B5" s="64" t="s">
        <v>679</v>
      </c>
      <c r="C5" s="110"/>
      <c r="D5" s="518"/>
      <c r="E5" s="508"/>
      <c r="F5" s="417"/>
    </row>
    <row r="6" spans="1:6" ht="15.75">
      <c r="A6" s="99"/>
      <c r="B6" s="101" t="s">
        <v>35</v>
      </c>
      <c r="C6" s="60"/>
      <c r="D6" s="518"/>
      <c r="E6" s="508"/>
      <c r="F6" s="417"/>
    </row>
    <row r="7" spans="1:6" ht="15.75">
      <c r="A7" s="99" t="s">
        <v>33</v>
      </c>
      <c r="B7" s="99" t="s">
        <v>34</v>
      </c>
      <c r="C7" s="60">
        <v>200000</v>
      </c>
      <c r="D7" s="518"/>
      <c r="E7" s="508">
        <v>200000</v>
      </c>
      <c r="F7" s="508">
        <v>200000</v>
      </c>
    </row>
    <row r="8" spans="1:6" ht="15.75">
      <c r="A8" s="99" t="s">
        <v>36</v>
      </c>
      <c r="B8" s="99" t="s">
        <v>37</v>
      </c>
      <c r="C8" s="60">
        <v>14500000</v>
      </c>
      <c r="D8" s="513">
        <v>15000000</v>
      </c>
      <c r="E8" s="508">
        <v>29500000</v>
      </c>
      <c r="F8" s="508">
        <v>27000000</v>
      </c>
    </row>
    <row r="9" spans="1:6" ht="15.75">
      <c r="A9" s="99" t="s">
        <v>38</v>
      </c>
      <c r="B9" s="99" t="s">
        <v>39</v>
      </c>
      <c r="C9" s="60">
        <v>14500000</v>
      </c>
      <c r="D9" s="575">
        <v>15000000</v>
      </c>
      <c r="E9" s="508">
        <v>29500000</v>
      </c>
      <c r="F9" s="508">
        <v>27000000</v>
      </c>
    </row>
    <row r="10" spans="1:6" ht="15.75">
      <c r="A10" s="99"/>
      <c r="B10" s="101" t="s">
        <v>21</v>
      </c>
      <c r="C10" s="60"/>
      <c r="D10" s="518"/>
      <c r="E10" s="508"/>
      <c r="F10" s="508"/>
    </row>
    <row r="11" spans="1:6" ht="15.75">
      <c r="A11" s="99" t="s">
        <v>19</v>
      </c>
      <c r="B11" s="99" t="s">
        <v>20</v>
      </c>
      <c r="C11" s="60">
        <v>50000</v>
      </c>
      <c r="D11" s="518"/>
      <c r="E11" s="508">
        <v>50000</v>
      </c>
      <c r="F11" s="508">
        <v>50000</v>
      </c>
    </row>
    <row r="12" spans="1:6" ht="15.75">
      <c r="A12" s="99" t="s">
        <v>22</v>
      </c>
      <c r="B12" s="99" t="s">
        <v>23</v>
      </c>
      <c r="C12" s="60">
        <v>30000</v>
      </c>
      <c r="D12" s="518"/>
      <c r="E12" s="508">
        <v>30000</v>
      </c>
      <c r="F12" s="508">
        <v>30000</v>
      </c>
    </row>
    <row r="13" spans="1:6" ht="15.75">
      <c r="A13" s="99"/>
      <c r="B13" s="101" t="s">
        <v>28</v>
      </c>
      <c r="C13" s="60"/>
      <c r="D13" s="518"/>
      <c r="E13" s="508"/>
      <c r="F13" s="508"/>
    </row>
    <row r="14" spans="1:6" ht="15.75">
      <c r="A14" s="99" t="s">
        <v>26</v>
      </c>
      <c r="B14" s="99" t="s">
        <v>27</v>
      </c>
      <c r="C14" s="60">
        <v>50000</v>
      </c>
      <c r="D14" s="518"/>
      <c r="E14" s="508">
        <v>50000</v>
      </c>
      <c r="F14" s="508">
        <v>50000</v>
      </c>
    </row>
    <row r="15" spans="1:6" ht="15.75">
      <c r="A15" s="99" t="s">
        <v>29</v>
      </c>
      <c r="B15" s="99" t="s">
        <v>30</v>
      </c>
      <c r="C15" s="60">
        <v>50000</v>
      </c>
      <c r="D15" s="518"/>
      <c r="E15" s="508">
        <v>50000</v>
      </c>
      <c r="F15" s="508">
        <v>50000</v>
      </c>
    </row>
    <row r="16" spans="1:6" ht="15.75">
      <c r="A16" s="99"/>
      <c r="B16" s="101" t="s">
        <v>50</v>
      </c>
      <c r="C16" s="60"/>
      <c r="D16" s="518"/>
      <c r="E16" s="508"/>
      <c r="F16" s="508"/>
    </row>
    <row r="17" spans="1:6" ht="15.75">
      <c r="A17" s="99" t="s">
        <v>51</v>
      </c>
      <c r="B17" s="99" t="s">
        <v>52</v>
      </c>
      <c r="C17" s="60">
        <v>100000</v>
      </c>
      <c r="D17" s="518"/>
      <c r="E17" s="508">
        <v>100000</v>
      </c>
      <c r="F17" s="508">
        <v>761279</v>
      </c>
    </row>
    <row r="18" spans="1:6" ht="15.75">
      <c r="A18" s="99" t="s">
        <v>53</v>
      </c>
      <c r="B18" s="99" t="s">
        <v>54</v>
      </c>
      <c r="C18" s="60">
        <v>50000</v>
      </c>
      <c r="D18" s="518"/>
      <c r="E18" s="508">
        <v>50000</v>
      </c>
      <c r="F18" s="508">
        <v>50000</v>
      </c>
    </row>
    <row r="19" spans="1:6" ht="15.75">
      <c r="A19" s="99" t="s">
        <v>55</v>
      </c>
      <c r="B19" s="99" t="s">
        <v>56</v>
      </c>
      <c r="C19" s="60">
        <v>2000000</v>
      </c>
      <c r="D19" s="518">
        <v>4000000</v>
      </c>
      <c r="E19" s="508">
        <v>6000000</v>
      </c>
      <c r="F19" s="508">
        <v>6000000</v>
      </c>
    </row>
    <row r="20" spans="1:6" ht="15.75">
      <c r="A20" s="99"/>
      <c r="B20" s="101" t="s">
        <v>68</v>
      </c>
      <c r="C20" s="60"/>
      <c r="D20" s="518"/>
      <c r="E20" s="508"/>
      <c r="F20" s="508"/>
    </row>
    <row r="21" spans="1:6" ht="15.75">
      <c r="A21" s="99" t="s">
        <v>66</v>
      </c>
      <c r="B21" s="99" t="s">
        <v>67</v>
      </c>
      <c r="C21" s="60">
        <v>100000</v>
      </c>
      <c r="D21" s="518"/>
      <c r="E21" s="508">
        <v>100000</v>
      </c>
      <c r="F21" s="508">
        <v>100000</v>
      </c>
    </row>
    <row r="22" spans="1:6" ht="15.75">
      <c r="A22" s="99" t="s">
        <v>75</v>
      </c>
      <c r="B22" s="99" t="s">
        <v>76</v>
      </c>
      <c r="C22" s="60">
        <v>1000000</v>
      </c>
      <c r="D22" s="518"/>
      <c r="E22" s="508">
        <v>1000000</v>
      </c>
      <c r="F22" s="508">
        <v>1000000</v>
      </c>
    </row>
    <row r="23" spans="1:6" ht="15.75">
      <c r="A23" s="99" t="s">
        <v>80</v>
      </c>
      <c r="B23" s="99" t="s">
        <v>81</v>
      </c>
      <c r="C23" s="60">
        <v>1000000</v>
      </c>
      <c r="D23" s="518"/>
      <c r="E23" s="508">
        <v>1000000</v>
      </c>
      <c r="F23" s="508">
        <v>1000000</v>
      </c>
    </row>
    <row r="24" spans="1:6" ht="15.75">
      <c r="A24" s="99"/>
      <c r="B24" s="101" t="s">
        <v>84</v>
      </c>
      <c r="C24" s="60"/>
      <c r="D24" s="518"/>
      <c r="E24" s="508"/>
      <c r="F24" s="508"/>
    </row>
    <row r="25" spans="1:6" ht="15.75">
      <c r="A25" s="99" t="s">
        <v>82</v>
      </c>
      <c r="B25" s="99" t="s">
        <v>83</v>
      </c>
      <c r="C25" s="60">
        <v>200000</v>
      </c>
      <c r="D25" s="518"/>
      <c r="E25" s="508">
        <v>200000</v>
      </c>
      <c r="F25" s="508">
        <v>200000</v>
      </c>
    </row>
    <row r="26" spans="1:6" ht="15.75">
      <c r="A26" s="99" t="s">
        <v>85</v>
      </c>
      <c r="B26" s="99" t="s">
        <v>86</v>
      </c>
      <c r="C26" s="60">
        <v>1000000</v>
      </c>
      <c r="D26" s="518"/>
      <c r="E26" s="508">
        <v>1000000</v>
      </c>
      <c r="F26" s="508">
        <v>1000000</v>
      </c>
    </row>
    <row r="27" spans="1:6" ht="15.75">
      <c r="A27" s="99"/>
      <c r="B27" s="101" t="s">
        <v>124</v>
      </c>
      <c r="C27" s="60"/>
      <c r="D27" s="518"/>
      <c r="E27" s="508"/>
      <c r="F27" s="508"/>
    </row>
    <row r="28" spans="1:7" ht="15.75">
      <c r="A28" s="99" t="s">
        <v>122</v>
      </c>
      <c r="B28" s="99" t="s">
        <v>123</v>
      </c>
      <c r="C28" s="60">
        <v>700000</v>
      </c>
      <c r="D28" s="518"/>
      <c r="E28" s="508">
        <v>700000</v>
      </c>
      <c r="F28" s="508">
        <v>1362156</v>
      </c>
      <c r="G28" s="9"/>
    </row>
    <row r="29" spans="1:6" ht="15.75">
      <c r="A29" s="99" t="s">
        <v>125</v>
      </c>
      <c r="B29" s="99" t="s">
        <v>126</v>
      </c>
      <c r="C29" s="60">
        <v>300000</v>
      </c>
      <c r="D29" s="518"/>
      <c r="E29" s="508">
        <v>300000</v>
      </c>
      <c r="F29" s="508">
        <v>300000</v>
      </c>
    </row>
    <row r="30" spans="1:6" ht="15.75">
      <c r="A30" s="99" t="s">
        <v>127</v>
      </c>
      <c r="B30" s="99" t="s">
        <v>128</v>
      </c>
      <c r="C30" s="60">
        <v>100000</v>
      </c>
      <c r="D30" s="518"/>
      <c r="E30" s="508">
        <v>100000</v>
      </c>
      <c r="F30" s="508">
        <v>100000</v>
      </c>
    </row>
    <row r="31" spans="1:6" s="98" customFormat="1" ht="15.75">
      <c r="A31" s="85">
        <v>3110701</v>
      </c>
      <c r="B31" s="56" t="s">
        <v>348</v>
      </c>
      <c r="C31" s="60">
        <v>5000000</v>
      </c>
      <c r="D31" s="518">
        <v>-5000000</v>
      </c>
      <c r="E31" s="508">
        <v>0</v>
      </c>
      <c r="F31" s="508">
        <v>5000000</v>
      </c>
    </row>
    <row r="32" spans="1:6" s="98" customFormat="1" ht="15.75">
      <c r="A32" s="85">
        <v>3111001</v>
      </c>
      <c r="B32" s="56" t="s">
        <v>167</v>
      </c>
      <c r="C32" s="60">
        <v>2000000</v>
      </c>
      <c r="D32" s="518">
        <v>1000000</v>
      </c>
      <c r="E32" s="508">
        <v>3000000</v>
      </c>
      <c r="F32" s="508">
        <v>3000000</v>
      </c>
    </row>
    <row r="33" spans="1:6" s="504" customFormat="1" ht="15.75">
      <c r="A33" s="506" t="s">
        <v>157</v>
      </c>
      <c r="B33" s="505" t="s">
        <v>158</v>
      </c>
      <c r="C33" s="508"/>
      <c r="D33" s="518">
        <v>4000000</v>
      </c>
      <c r="E33" s="508">
        <v>4000000</v>
      </c>
      <c r="F33" s="508">
        <v>4000000</v>
      </c>
    </row>
    <row r="34" spans="1:6" ht="15.75">
      <c r="A34" s="6" t="s">
        <v>170</v>
      </c>
      <c r="B34" s="14"/>
      <c r="C34" s="61">
        <f>SUM(C7:C33)</f>
        <v>42930000</v>
      </c>
      <c r="D34" s="61">
        <f>SUM(D7:D33)</f>
        <v>34000000</v>
      </c>
      <c r="E34" s="61">
        <f>SUM(E7:E33)</f>
        <v>76930000</v>
      </c>
      <c r="F34" s="61">
        <f>SUM(F7:F33)</f>
        <v>78253435</v>
      </c>
    </row>
    <row r="35" spans="1:6" s="2" customFormat="1" ht="15.75">
      <c r="A35" s="199"/>
      <c r="B35" s="199" t="s">
        <v>717</v>
      </c>
      <c r="C35" s="104"/>
      <c r="D35" s="522"/>
      <c r="E35" s="63"/>
      <c r="F35" s="417"/>
    </row>
    <row r="36" spans="1:6" s="2" customFormat="1" ht="15.75">
      <c r="A36" s="99"/>
      <c r="B36" s="101" t="s">
        <v>35</v>
      </c>
      <c r="C36" s="104"/>
      <c r="D36" s="522"/>
      <c r="E36" s="63"/>
      <c r="F36" s="417"/>
    </row>
    <row r="37" spans="1:6" s="2" customFormat="1" ht="15.75">
      <c r="A37" s="99" t="s">
        <v>33</v>
      </c>
      <c r="B37" s="99" t="s">
        <v>34</v>
      </c>
      <c r="C37" s="63">
        <v>250000</v>
      </c>
      <c r="D37" s="522"/>
      <c r="E37" s="63">
        <f>C37+D37</f>
        <v>250000</v>
      </c>
      <c r="F37" s="814">
        <v>100000</v>
      </c>
    </row>
    <row r="38" spans="1:6" s="2" customFormat="1" ht="15.75">
      <c r="A38" s="99" t="s">
        <v>36</v>
      </c>
      <c r="B38" s="99" t="s">
        <v>37</v>
      </c>
      <c r="C38" s="63">
        <v>4000000</v>
      </c>
      <c r="D38" s="522"/>
      <c r="E38" s="63">
        <f>C38+D38</f>
        <v>4000000</v>
      </c>
      <c r="F38" s="814">
        <v>2000000</v>
      </c>
    </row>
    <row r="39" spans="1:6" s="2" customFormat="1" ht="15.75">
      <c r="A39" s="99" t="s">
        <v>38</v>
      </c>
      <c r="B39" s="99" t="s">
        <v>39</v>
      </c>
      <c r="C39" s="63">
        <v>4000000</v>
      </c>
      <c r="D39" s="522"/>
      <c r="E39" s="63">
        <f>C39+D39</f>
        <v>4000000</v>
      </c>
      <c r="F39" s="814">
        <v>2000000</v>
      </c>
    </row>
    <row r="40" spans="1:6" s="98" customFormat="1" ht="15.75">
      <c r="A40" s="6" t="s">
        <v>170</v>
      </c>
      <c r="B40" s="14"/>
      <c r="C40" s="61">
        <f>SUM(C37:C39)</f>
        <v>8250000</v>
      </c>
      <c r="D40" s="486">
        <f>SUM(D37:D39)</f>
        <v>0</v>
      </c>
      <c r="E40" s="61">
        <f>SUM(E37:E39)</f>
        <v>8250000</v>
      </c>
      <c r="F40" s="61">
        <f>SUM(F37:F39)</f>
        <v>4100000</v>
      </c>
    </row>
    <row r="41" spans="1:6" s="98" customFormat="1" ht="15.75">
      <c r="A41" s="6"/>
      <c r="B41" s="6" t="s">
        <v>718</v>
      </c>
      <c r="C41" s="61">
        <f>SUM(C40,C34)</f>
        <v>51180000</v>
      </c>
      <c r="D41" s="486">
        <f>SUM(D40,D34)</f>
        <v>34000000</v>
      </c>
      <c r="E41" s="61">
        <f>SUM(E40,E34)</f>
        <v>85180000</v>
      </c>
      <c r="F41" s="61">
        <f>SUM(F40,F34)</f>
        <v>82353435</v>
      </c>
    </row>
    <row r="42" spans="1:6" ht="15.75">
      <c r="A42" s="182">
        <v>1050302</v>
      </c>
      <c r="B42" s="55" t="s">
        <v>712</v>
      </c>
      <c r="C42" s="60"/>
      <c r="D42" s="518"/>
      <c r="E42" s="508"/>
      <c r="F42" s="417"/>
    </row>
    <row r="43" spans="1:6" ht="15.75">
      <c r="A43" s="99"/>
      <c r="B43" s="101" t="s">
        <v>35</v>
      </c>
      <c r="C43" s="60"/>
      <c r="D43" s="518"/>
      <c r="E43" s="508"/>
      <c r="F43" s="417"/>
    </row>
    <row r="44" spans="1:6" ht="15.75">
      <c r="A44" s="99" t="s">
        <v>33</v>
      </c>
      <c r="B44" s="99" t="s">
        <v>34</v>
      </c>
      <c r="C44" s="60">
        <v>100000</v>
      </c>
      <c r="D44" s="518"/>
      <c r="E44" s="508">
        <v>100000</v>
      </c>
      <c r="F44" s="508">
        <v>100000</v>
      </c>
    </row>
    <row r="45" spans="1:6" ht="15.75">
      <c r="A45" s="99" t="s">
        <v>36</v>
      </c>
      <c r="B45" s="99" t="s">
        <v>37</v>
      </c>
      <c r="C45" s="60">
        <v>5000000</v>
      </c>
      <c r="D45" s="518">
        <v>7000000</v>
      </c>
      <c r="E45" s="508">
        <v>12000000</v>
      </c>
      <c r="F45" s="508">
        <v>6000000</v>
      </c>
    </row>
    <row r="46" spans="1:6" ht="15.75">
      <c r="A46" s="99" t="s">
        <v>38</v>
      </c>
      <c r="B46" s="99" t="s">
        <v>39</v>
      </c>
      <c r="C46" s="60">
        <v>6000000</v>
      </c>
      <c r="D46" s="518">
        <v>8000000</v>
      </c>
      <c r="E46" s="508">
        <v>14000000</v>
      </c>
      <c r="F46" s="508">
        <v>6000000</v>
      </c>
    </row>
    <row r="47" spans="1:6" s="98" customFormat="1" ht="15.75">
      <c r="A47" s="99"/>
      <c r="B47" s="101" t="s">
        <v>44</v>
      </c>
      <c r="C47" s="60"/>
      <c r="D47" s="518"/>
      <c r="E47" s="508"/>
      <c r="F47" s="508"/>
    </row>
    <row r="48" spans="1:6" s="98" customFormat="1" ht="15.75">
      <c r="A48" s="99" t="s">
        <v>42</v>
      </c>
      <c r="B48" s="99" t="s">
        <v>43</v>
      </c>
      <c r="C48" s="60">
        <v>1000000</v>
      </c>
      <c r="D48" s="513">
        <v>3000000</v>
      </c>
      <c r="E48" s="508">
        <v>4000000</v>
      </c>
      <c r="F48" s="508"/>
    </row>
    <row r="49" spans="1:6" s="98" customFormat="1" ht="15.75">
      <c r="A49" s="99" t="s">
        <v>45</v>
      </c>
      <c r="B49" s="99" t="s">
        <v>46</v>
      </c>
      <c r="C49" s="60">
        <v>1500000</v>
      </c>
      <c r="D49" s="518"/>
      <c r="E49" s="508">
        <v>1500000</v>
      </c>
      <c r="F49" s="508"/>
    </row>
    <row r="50" spans="1:6" s="98" customFormat="1" ht="15.75">
      <c r="A50" s="99" t="s">
        <v>47</v>
      </c>
      <c r="B50" s="99" t="s">
        <v>39</v>
      </c>
      <c r="C50" s="60">
        <v>2000000</v>
      </c>
      <c r="D50" s="518"/>
      <c r="E50" s="508">
        <v>2000000</v>
      </c>
      <c r="F50" s="508"/>
    </row>
    <row r="51" spans="1:6" s="98" customFormat="1" ht="15.75">
      <c r="A51" s="99" t="s">
        <v>48</v>
      </c>
      <c r="B51" s="99" t="s">
        <v>49</v>
      </c>
      <c r="C51" s="60">
        <v>100000</v>
      </c>
      <c r="D51" s="518"/>
      <c r="E51" s="508">
        <v>100000</v>
      </c>
      <c r="F51" s="508"/>
    </row>
    <row r="52" spans="1:6" ht="15.75">
      <c r="A52" s="99"/>
      <c r="B52" s="101" t="s">
        <v>21</v>
      </c>
      <c r="C52" s="60"/>
      <c r="D52" s="518"/>
      <c r="E52" s="508"/>
      <c r="F52" s="508"/>
    </row>
    <row r="53" spans="1:6" ht="15.75">
      <c r="A53" s="99" t="s">
        <v>19</v>
      </c>
      <c r="B53" s="99" t="s">
        <v>20</v>
      </c>
      <c r="C53" s="60">
        <v>50000</v>
      </c>
      <c r="D53" s="518"/>
      <c r="E53" s="508">
        <v>50000</v>
      </c>
      <c r="F53" s="508">
        <v>50000</v>
      </c>
    </row>
    <row r="54" spans="1:6" ht="15.75">
      <c r="A54" s="99" t="s">
        <v>22</v>
      </c>
      <c r="B54" s="99" t="s">
        <v>23</v>
      </c>
      <c r="C54" s="60">
        <v>10000</v>
      </c>
      <c r="D54" s="518"/>
      <c r="E54" s="508">
        <v>10000</v>
      </c>
      <c r="F54" s="508">
        <v>10000</v>
      </c>
    </row>
    <row r="55" spans="1:6" ht="15.75">
      <c r="A55" s="99"/>
      <c r="B55" s="101" t="s">
        <v>28</v>
      </c>
      <c r="C55" s="60"/>
      <c r="D55" s="518"/>
      <c r="E55" s="508"/>
      <c r="F55" s="508"/>
    </row>
    <row r="56" spans="1:6" ht="15.75">
      <c r="A56" s="99" t="s">
        <v>26</v>
      </c>
      <c r="B56" s="99" t="s">
        <v>27</v>
      </c>
      <c r="C56" s="60">
        <v>50000</v>
      </c>
      <c r="D56" s="518"/>
      <c r="E56" s="508">
        <v>50000</v>
      </c>
      <c r="F56" s="508">
        <v>50000</v>
      </c>
    </row>
    <row r="57" spans="1:6" ht="15.75">
      <c r="A57" s="99" t="s">
        <v>29</v>
      </c>
      <c r="B57" s="99" t="s">
        <v>30</v>
      </c>
      <c r="C57" s="60">
        <v>50000</v>
      </c>
      <c r="D57" s="518"/>
      <c r="E57" s="508">
        <v>50000</v>
      </c>
      <c r="F57" s="508">
        <v>50000</v>
      </c>
    </row>
    <row r="58" spans="1:6" ht="15.75">
      <c r="A58" s="99"/>
      <c r="B58" s="101" t="s">
        <v>50</v>
      </c>
      <c r="C58" s="60"/>
      <c r="D58" s="518"/>
      <c r="E58" s="508"/>
      <c r="F58" s="508"/>
    </row>
    <row r="59" spans="1:6" ht="15.75">
      <c r="A59" s="99" t="s">
        <v>51</v>
      </c>
      <c r="B59" s="99" t="s">
        <v>52</v>
      </c>
      <c r="C59" s="60">
        <v>3000000</v>
      </c>
      <c r="D59" s="518"/>
      <c r="E59" s="508">
        <v>3000000</v>
      </c>
      <c r="F59" s="508">
        <v>1500000</v>
      </c>
    </row>
    <row r="60" spans="1:6" ht="15.75">
      <c r="A60" s="99" t="s">
        <v>53</v>
      </c>
      <c r="B60" s="99" t="s">
        <v>54</v>
      </c>
      <c r="C60" s="60">
        <v>30000</v>
      </c>
      <c r="D60" s="518"/>
      <c r="E60" s="508">
        <v>30000</v>
      </c>
      <c r="F60" s="508">
        <v>30000</v>
      </c>
    </row>
    <row r="61" spans="1:6" ht="15.75">
      <c r="A61" s="99"/>
      <c r="B61" s="101" t="s">
        <v>68</v>
      </c>
      <c r="C61" s="60"/>
      <c r="D61" s="518"/>
      <c r="E61" s="508"/>
      <c r="F61" s="508"/>
    </row>
    <row r="62" spans="1:6" ht="15.75">
      <c r="A62" s="99" t="s">
        <v>66</v>
      </c>
      <c r="B62" s="99" t="s">
        <v>67</v>
      </c>
      <c r="C62" s="60">
        <v>100000</v>
      </c>
      <c r="D62" s="518"/>
      <c r="E62" s="508">
        <v>100000</v>
      </c>
      <c r="F62" s="508">
        <v>100000</v>
      </c>
    </row>
    <row r="63" spans="1:6" ht="15.75">
      <c r="A63" s="99" t="s">
        <v>75</v>
      </c>
      <c r="B63" s="99" t="s">
        <v>76</v>
      </c>
      <c r="C63" s="60">
        <v>1000000</v>
      </c>
      <c r="D63" s="518"/>
      <c r="E63" s="508">
        <v>1000000</v>
      </c>
      <c r="F63" s="508">
        <v>1000000</v>
      </c>
    </row>
    <row r="64" spans="1:6" ht="15.75">
      <c r="A64" s="99" t="s">
        <v>80</v>
      </c>
      <c r="B64" s="99" t="s">
        <v>81</v>
      </c>
      <c r="C64" s="60">
        <v>1000000</v>
      </c>
      <c r="D64" s="497">
        <v>900000</v>
      </c>
      <c r="E64" s="508">
        <v>1900000</v>
      </c>
      <c r="F64" s="508">
        <v>1900000</v>
      </c>
    </row>
    <row r="65" spans="1:6" ht="15.75">
      <c r="A65" s="99"/>
      <c r="B65" s="101" t="s">
        <v>84</v>
      </c>
      <c r="C65" s="60"/>
      <c r="D65" s="518"/>
      <c r="E65" s="508"/>
      <c r="F65" s="508"/>
    </row>
    <row r="66" spans="1:6" ht="15.75">
      <c r="A66" s="99" t="s">
        <v>82</v>
      </c>
      <c r="B66" s="99" t="s">
        <v>83</v>
      </c>
      <c r="C66" s="60">
        <v>200000</v>
      </c>
      <c r="D66" s="518"/>
      <c r="E66" s="508">
        <v>200000</v>
      </c>
      <c r="F66" s="508">
        <v>200000</v>
      </c>
    </row>
    <row r="67" spans="1:6" ht="15.75">
      <c r="A67" s="99" t="s">
        <v>85</v>
      </c>
      <c r="B67" s="99" t="s">
        <v>86</v>
      </c>
      <c r="C67" s="60">
        <v>1000000</v>
      </c>
      <c r="D67" s="518"/>
      <c r="E67" s="508">
        <v>1000000</v>
      </c>
      <c r="F67" s="508">
        <v>1000000</v>
      </c>
    </row>
    <row r="68" spans="1:6" ht="15.75">
      <c r="A68" s="99"/>
      <c r="B68" s="101" t="s">
        <v>124</v>
      </c>
      <c r="C68" s="60"/>
      <c r="D68" s="518"/>
      <c r="E68" s="508"/>
      <c r="F68" s="508"/>
    </row>
    <row r="69" spans="1:6" ht="15.75">
      <c r="A69" s="99" t="s">
        <v>122</v>
      </c>
      <c r="B69" s="99" t="s">
        <v>123</v>
      </c>
      <c r="C69" s="60">
        <v>200000</v>
      </c>
      <c r="D69" s="518"/>
      <c r="E69" s="508">
        <v>200000</v>
      </c>
      <c r="F69" s="508">
        <v>200000</v>
      </c>
    </row>
    <row r="70" spans="1:6" ht="15.75">
      <c r="A70" s="99" t="s">
        <v>125</v>
      </c>
      <c r="B70" s="99" t="s">
        <v>126</v>
      </c>
      <c r="C70" s="60">
        <v>150000</v>
      </c>
      <c r="D70" s="518"/>
      <c r="E70" s="508">
        <v>150000</v>
      </c>
      <c r="F70" s="508">
        <v>150000</v>
      </c>
    </row>
    <row r="71" spans="1:6" ht="15.75">
      <c r="A71" s="99" t="s">
        <v>127</v>
      </c>
      <c r="B71" s="99" t="s">
        <v>128</v>
      </c>
      <c r="C71" s="60">
        <v>100000</v>
      </c>
      <c r="D71" s="518"/>
      <c r="E71" s="508">
        <v>100000</v>
      </c>
      <c r="F71" s="508">
        <v>100000</v>
      </c>
    </row>
    <row r="72" spans="1:6" ht="15.75">
      <c r="A72" s="99"/>
      <c r="B72" s="101" t="s">
        <v>136</v>
      </c>
      <c r="C72" s="60"/>
      <c r="D72" s="518"/>
      <c r="E72" s="508"/>
      <c r="F72" s="508"/>
    </row>
    <row r="73" spans="1:6" ht="15.75">
      <c r="A73" s="99">
        <v>2211310</v>
      </c>
      <c r="B73" s="99" t="s">
        <v>142</v>
      </c>
      <c r="C73" s="60">
        <v>0</v>
      </c>
      <c r="D73" s="518">
        <v>3000000</v>
      </c>
      <c r="E73" s="508">
        <v>3000000</v>
      </c>
      <c r="F73" s="508">
        <v>3000000</v>
      </c>
    </row>
    <row r="74" spans="1:6" ht="15.75">
      <c r="A74" s="6"/>
      <c r="B74" s="6" t="s">
        <v>716</v>
      </c>
      <c r="C74" s="61">
        <f>SUM(C44:C73)</f>
        <v>22640000</v>
      </c>
      <c r="D74" s="486">
        <f>SUM(D44:D73)</f>
        <v>21900000</v>
      </c>
      <c r="E74" s="61">
        <f>SUM(E44:E73)</f>
        <v>44540000</v>
      </c>
      <c r="F74" s="61">
        <f>SUM(F44:F73)</f>
        <v>21440000</v>
      </c>
    </row>
    <row r="75" spans="1:6" ht="15.75">
      <c r="A75" s="167">
        <v>1050303</v>
      </c>
      <c r="B75" s="86" t="s">
        <v>713</v>
      </c>
      <c r="C75" s="60"/>
      <c r="D75" s="518"/>
      <c r="E75" s="508"/>
      <c r="F75" s="417"/>
    </row>
    <row r="76" spans="1:6" ht="15.75">
      <c r="A76" s="99"/>
      <c r="B76" s="101" t="s">
        <v>35</v>
      </c>
      <c r="C76" s="60"/>
      <c r="D76" s="518"/>
      <c r="E76" s="508"/>
      <c r="F76" s="417"/>
    </row>
    <row r="77" spans="1:6" ht="15.75">
      <c r="A77" s="99" t="s">
        <v>33</v>
      </c>
      <c r="B77" s="99" t="s">
        <v>34</v>
      </c>
      <c r="C77" s="60">
        <v>100000</v>
      </c>
      <c r="D77" s="518"/>
      <c r="E77" s="508">
        <v>100000</v>
      </c>
      <c r="F77" s="508">
        <v>100000</v>
      </c>
    </row>
    <row r="78" spans="1:6" ht="15.75">
      <c r="A78" s="99" t="s">
        <v>36</v>
      </c>
      <c r="B78" s="99" t="s">
        <v>37</v>
      </c>
      <c r="C78" s="60">
        <v>1000000</v>
      </c>
      <c r="D78" s="518"/>
      <c r="E78" s="508">
        <v>1000000</v>
      </c>
      <c r="F78" s="508">
        <v>1000000</v>
      </c>
    </row>
    <row r="79" spans="1:6" ht="15.75">
      <c r="A79" s="99" t="s">
        <v>38</v>
      </c>
      <c r="B79" s="99" t="s">
        <v>39</v>
      </c>
      <c r="C79" s="60">
        <v>2000000</v>
      </c>
      <c r="D79" s="518"/>
      <c r="E79" s="508">
        <v>2000000</v>
      </c>
      <c r="F79" s="508">
        <v>1000000</v>
      </c>
    </row>
    <row r="80" spans="1:6" s="98" customFormat="1" ht="15.75">
      <c r="A80" s="12">
        <v>2210310</v>
      </c>
      <c r="B80" s="99" t="s">
        <v>385</v>
      </c>
      <c r="C80" s="60">
        <v>2000000</v>
      </c>
      <c r="D80" s="518"/>
      <c r="E80" s="508">
        <v>2000000</v>
      </c>
      <c r="F80" s="508">
        <v>1000000</v>
      </c>
    </row>
    <row r="81" spans="1:6" ht="15.75">
      <c r="A81" s="99"/>
      <c r="B81" s="101" t="s">
        <v>28</v>
      </c>
      <c r="C81" s="60"/>
      <c r="D81" s="518"/>
      <c r="E81" s="508"/>
      <c r="F81" s="508"/>
    </row>
    <row r="82" spans="1:6" ht="15.75">
      <c r="A82" s="99" t="s">
        <v>26</v>
      </c>
      <c r="B82" s="99" t="s">
        <v>27</v>
      </c>
      <c r="C82" s="60">
        <v>70000</v>
      </c>
      <c r="D82" s="518"/>
      <c r="E82" s="508">
        <v>70000</v>
      </c>
      <c r="F82" s="508">
        <v>70000</v>
      </c>
    </row>
    <row r="83" spans="1:6" ht="15.75">
      <c r="A83" s="99" t="s">
        <v>29</v>
      </c>
      <c r="B83" s="99" t="s">
        <v>30</v>
      </c>
      <c r="C83" s="60">
        <v>50000</v>
      </c>
      <c r="D83" s="518"/>
      <c r="E83" s="508">
        <v>50000</v>
      </c>
      <c r="F83" s="508">
        <v>50000</v>
      </c>
    </row>
    <row r="84" spans="1:6" ht="15.75">
      <c r="A84" s="99"/>
      <c r="B84" s="101" t="s">
        <v>50</v>
      </c>
      <c r="C84" s="60"/>
      <c r="D84" s="518"/>
      <c r="E84" s="508"/>
      <c r="F84" s="508"/>
    </row>
    <row r="85" spans="1:6" ht="15.75">
      <c r="A85" s="99" t="s">
        <v>51</v>
      </c>
      <c r="B85" s="99" t="s">
        <v>52</v>
      </c>
      <c r="C85" s="60">
        <v>0</v>
      </c>
      <c r="D85" s="518"/>
      <c r="E85" s="508">
        <v>0</v>
      </c>
      <c r="F85" s="508">
        <v>0</v>
      </c>
    </row>
    <row r="86" spans="1:6" ht="15.75">
      <c r="A86" s="99" t="s">
        <v>53</v>
      </c>
      <c r="B86" s="99" t="s">
        <v>54</v>
      </c>
      <c r="C86" s="60">
        <v>30000</v>
      </c>
      <c r="D86" s="518"/>
      <c r="E86" s="508">
        <v>30000</v>
      </c>
      <c r="F86" s="508">
        <v>30000</v>
      </c>
    </row>
    <row r="87" spans="1:6" ht="15.75">
      <c r="A87" s="99" t="s">
        <v>55</v>
      </c>
      <c r="B87" s="99" t="s">
        <v>56</v>
      </c>
      <c r="C87" s="60">
        <v>0</v>
      </c>
      <c r="D87" s="518"/>
      <c r="E87" s="508">
        <v>0</v>
      </c>
      <c r="F87" s="508">
        <v>0</v>
      </c>
    </row>
    <row r="88" spans="1:6" ht="15.75">
      <c r="A88" s="99"/>
      <c r="B88" s="101" t="s">
        <v>68</v>
      </c>
      <c r="C88" s="60"/>
      <c r="D88" s="518"/>
      <c r="E88" s="508"/>
      <c r="F88" s="508"/>
    </row>
    <row r="89" spans="1:6" ht="15.75">
      <c r="A89" s="99" t="s">
        <v>66</v>
      </c>
      <c r="B89" s="99" t="s">
        <v>67</v>
      </c>
      <c r="C89" s="60">
        <v>100000</v>
      </c>
      <c r="D89" s="518"/>
      <c r="E89" s="508">
        <v>100000</v>
      </c>
      <c r="F89" s="508">
        <v>100000</v>
      </c>
    </row>
    <row r="90" spans="1:6" ht="15.75">
      <c r="A90" s="99" t="s">
        <v>75</v>
      </c>
      <c r="B90" s="99" t="s">
        <v>76</v>
      </c>
      <c r="C90" s="60">
        <v>500000</v>
      </c>
      <c r="D90" s="518"/>
      <c r="E90" s="508">
        <v>500000</v>
      </c>
      <c r="F90" s="508">
        <v>500000</v>
      </c>
    </row>
    <row r="91" spans="1:6" ht="15.75">
      <c r="A91" s="99" t="s">
        <v>80</v>
      </c>
      <c r="B91" s="99" t="s">
        <v>81</v>
      </c>
      <c r="C91" s="60">
        <v>500000</v>
      </c>
      <c r="D91" s="518"/>
      <c r="E91" s="508">
        <v>500000</v>
      </c>
      <c r="F91" s="508">
        <v>500000</v>
      </c>
    </row>
    <row r="92" spans="1:6" ht="15.75">
      <c r="A92" s="99"/>
      <c r="B92" s="101" t="s">
        <v>84</v>
      </c>
      <c r="C92" s="60"/>
      <c r="D92" s="518"/>
      <c r="E92" s="508"/>
      <c r="F92" s="508"/>
    </row>
    <row r="93" spans="1:6" ht="15.75">
      <c r="A93" s="99" t="s">
        <v>82</v>
      </c>
      <c r="B93" s="99" t="s">
        <v>83</v>
      </c>
      <c r="C93" s="60">
        <v>100000</v>
      </c>
      <c r="D93" s="518"/>
      <c r="E93" s="508">
        <v>100000</v>
      </c>
      <c r="F93" s="508">
        <v>100000</v>
      </c>
    </row>
    <row r="94" spans="1:6" ht="15.75">
      <c r="A94" s="99" t="s">
        <v>85</v>
      </c>
      <c r="B94" s="99" t="s">
        <v>86</v>
      </c>
      <c r="C94" s="60">
        <v>1000000</v>
      </c>
      <c r="D94" s="518"/>
      <c r="E94" s="508">
        <v>1000000</v>
      </c>
      <c r="F94" s="508">
        <v>1000000</v>
      </c>
    </row>
    <row r="95" spans="1:6" ht="15.75">
      <c r="A95" s="99"/>
      <c r="B95" s="101" t="s">
        <v>124</v>
      </c>
      <c r="C95" s="60"/>
      <c r="D95" s="518"/>
      <c r="E95" s="508"/>
      <c r="F95" s="508"/>
    </row>
    <row r="96" spans="1:6" ht="15.75">
      <c r="A96" s="99" t="s">
        <v>122</v>
      </c>
      <c r="B96" s="99" t="s">
        <v>123</v>
      </c>
      <c r="C96" s="60">
        <v>250000</v>
      </c>
      <c r="D96" s="518">
        <v>450000</v>
      </c>
      <c r="E96" s="508">
        <v>700000</v>
      </c>
      <c r="F96" s="508">
        <v>700000</v>
      </c>
    </row>
    <row r="97" spans="1:6" ht="15.75">
      <c r="A97" s="99" t="s">
        <v>125</v>
      </c>
      <c r="B97" s="99" t="s">
        <v>126</v>
      </c>
      <c r="C97" s="60">
        <v>200000</v>
      </c>
      <c r="D97" s="518"/>
      <c r="E97" s="508">
        <v>200000</v>
      </c>
      <c r="F97" s="508">
        <v>200000</v>
      </c>
    </row>
    <row r="98" spans="1:6" ht="15.75">
      <c r="A98" s="99" t="s">
        <v>127</v>
      </c>
      <c r="B98" s="99" t="s">
        <v>128</v>
      </c>
      <c r="C98" s="60">
        <v>100000</v>
      </c>
      <c r="D98" s="518"/>
      <c r="E98" s="508">
        <v>100000</v>
      </c>
      <c r="F98" s="508">
        <v>100000</v>
      </c>
    </row>
    <row r="99" spans="1:6" ht="15.75">
      <c r="A99" s="6"/>
      <c r="B99" s="6" t="s">
        <v>715</v>
      </c>
      <c r="C99" s="61">
        <f>SUM(C77:C98)</f>
        <v>8000000</v>
      </c>
      <c r="D99" s="486">
        <f>SUM(D77:D98)</f>
        <v>450000</v>
      </c>
      <c r="E99" s="61">
        <f>SUM(E77:E98)</f>
        <v>8450000</v>
      </c>
      <c r="F99" s="61">
        <f>SUM(F77:F98)</f>
        <v>6450000</v>
      </c>
    </row>
    <row r="100" spans="1:6" ht="15.75">
      <c r="A100" s="182">
        <v>1050304</v>
      </c>
      <c r="B100" s="86" t="s">
        <v>714</v>
      </c>
      <c r="C100" s="60"/>
      <c r="D100" s="518"/>
      <c r="E100" s="508"/>
      <c r="F100" s="417"/>
    </row>
    <row r="101" spans="1:6" ht="15.75">
      <c r="A101" s="99"/>
      <c r="B101" s="101" t="s">
        <v>35</v>
      </c>
      <c r="C101" s="60"/>
      <c r="D101" s="518"/>
      <c r="E101" s="508"/>
      <c r="F101" s="417"/>
    </row>
    <row r="102" spans="1:6" ht="15.75">
      <c r="A102" s="99" t="s">
        <v>33</v>
      </c>
      <c r="B102" s="99" t="s">
        <v>34</v>
      </c>
      <c r="C102" s="60">
        <v>150000</v>
      </c>
      <c r="D102" s="518"/>
      <c r="E102" s="508">
        <v>150000</v>
      </c>
      <c r="F102" s="508">
        <v>150000</v>
      </c>
    </row>
    <row r="103" spans="1:6" ht="15.75">
      <c r="A103" s="99" t="s">
        <v>36</v>
      </c>
      <c r="B103" s="99" t="s">
        <v>37</v>
      </c>
      <c r="C103" s="60">
        <v>1000000</v>
      </c>
      <c r="D103" s="518"/>
      <c r="E103" s="508">
        <v>1000000</v>
      </c>
      <c r="F103" s="508">
        <v>1000000</v>
      </c>
    </row>
    <row r="104" spans="1:6" ht="15.75">
      <c r="A104" s="99" t="s">
        <v>38</v>
      </c>
      <c r="B104" s="99" t="s">
        <v>39</v>
      </c>
      <c r="C104" s="60">
        <v>1000000</v>
      </c>
      <c r="D104" s="518"/>
      <c r="E104" s="508">
        <v>1000000</v>
      </c>
      <c r="F104" s="508">
        <v>1000000</v>
      </c>
    </row>
    <row r="105" spans="1:6" ht="15.75">
      <c r="A105" s="99"/>
      <c r="B105" s="101" t="s">
        <v>21</v>
      </c>
      <c r="C105" s="60"/>
      <c r="D105" s="518"/>
      <c r="E105" s="508"/>
      <c r="F105" s="508"/>
    </row>
    <row r="106" spans="1:6" ht="15.75">
      <c r="A106" s="99" t="s">
        <v>19</v>
      </c>
      <c r="B106" s="99" t="s">
        <v>20</v>
      </c>
      <c r="C106" s="60">
        <v>250000</v>
      </c>
      <c r="D106" s="518"/>
      <c r="E106" s="508">
        <v>250000</v>
      </c>
      <c r="F106" s="508">
        <v>250000</v>
      </c>
    </row>
    <row r="107" spans="1:6" ht="15.75">
      <c r="A107" s="99"/>
      <c r="B107" s="101" t="s">
        <v>28</v>
      </c>
      <c r="C107" s="60"/>
      <c r="D107" s="518"/>
      <c r="E107" s="508"/>
      <c r="F107" s="508"/>
    </row>
    <row r="108" spans="1:6" ht="15.75">
      <c r="A108" s="99" t="s">
        <v>26</v>
      </c>
      <c r="B108" s="99" t="s">
        <v>27</v>
      </c>
      <c r="C108" s="60">
        <v>1500000</v>
      </c>
      <c r="D108" s="518"/>
      <c r="E108" s="508">
        <v>1500000</v>
      </c>
      <c r="F108" s="508">
        <v>1500000</v>
      </c>
    </row>
    <row r="109" spans="1:6" s="98" customFormat="1" ht="15.75">
      <c r="A109" s="99"/>
      <c r="B109" s="99" t="s">
        <v>378</v>
      </c>
      <c r="C109" s="60">
        <v>1850000</v>
      </c>
      <c r="D109" s="518">
        <v>-925000</v>
      </c>
      <c r="E109" s="508">
        <v>925000</v>
      </c>
      <c r="F109" s="508">
        <v>925000</v>
      </c>
    </row>
    <row r="110" spans="1:6" s="98" customFormat="1" ht="15.75">
      <c r="A110" s="99"/>
      <c r="B110" s="99" t="s">
        <v>898</v>
      </c>
      <c r="C110" s="60">
        <v>300000</v>
      </c>
      <c r="D110" s="518">
        <v>300000</v>
      </c>
      <c r="E110" s="508">
        <v>600000</v>
      </c>
      <c r="F110" s="508">
        <v>600000</v>
      </c>
    </row>
    <row r="111" spans="1:6" ht="15.75">
      <c r="A111" s="99" t="s">
        <v>29</v>
      </c>
      <c r="B111" s="99" t="s">
        <v>899</v>
      </c>
      <c r="C111" s="60">
        <v>7650000</v>
      </c>
      <c r="D111" s="518">
        <v>-1000000</v>
      </c>
      <c r="E111" s="508">
        <v>6650000</v>
      </c>
      <c r="F111" s="508">
        <v>6650000</v>
      </c>
    </row>
    <row r="112" spans="1:6" ht="15.75">
      <c r="A112" s="99"/>
      <c r="B112" s="101" t="s">
        <v>50</v>
      </c>
      <c r="C112" s="60"/>
      <c r="D112" s="518"/>
      <c r="E112" s="508"/>
      <c r="F112" s="508"/>
    </row>
    <row r="113" spans="1:6" ht="15.75">
      <c r="A113" s="99" t="s">
        <v>51</v>
      </c>
      <c r="B113" s="99" t="s">
        <v>52</v>
      </c>
      <c r="C113" s="60">
        <v>50000</v>
      </c>
      <c r="D113" s="518"/>
      <c r="E113" s="508">
        <v>50000</v>
      </c>
      <c r="F113" s="508">
        <v>50000</v>
      </c>
    </row>
    <row r="114" spans="1:6" ht="15.75">
      <c r="A114" s="99" t="s">
        <v>53</v>
      </c>
      <c r="B114" s="99" t="s">
        <v>54</v>
      </c>
      <c r="C114" s="60">
        <v>50000</v>
      </c>
      <c r="D114" s="518"/>
      <c r="E114" s="508">
        <v>50000</v>
      </c>
      <c r="F114" s="508">
        <v>50000</v>
      </c>
    </row>
    <row r="115" spans="1:6" ht="15.75">
      <c r="A115" s="99" t="s">
        <v>55</v>
      </c>
      <c r="B115" s="99" t="s">
        <v>56</v>
      </c>
      <c r="C115" s="60">
        <v>50000</v>
      </c>
      <c r="D115" s="518"/>
      <c r="E115" s="508">
        <v>50000</v>
      </c>
      <c r="F115" s="508">
        <v>50000</v>
      </c>
    </row>
    <row r="116" spans="1:6" ht="15.75">
      <c r="A116" s="99"/>
      <c r="B116" s="101" t="s">
        <v>68</v>
      </c>
      <c r="C116" s="60"/>
      <c r="D116" s="518"/>
      <c r="E116" s="508"/>
      <c r="F116" s="508"/>
    </row>
    <row r="117" spans="1:6" ht="15.75">
      <c r="A117" s="99" t="s">
        <v>66</v>
      </c>
      <c r="B117" s="99" t="s">
        <v>67</v>
      </c>
      <c r="C117" s="60">
        <v>100000</v>
      </c>
      <c r="D117" s="518">
        <v>0</v>
      </c>
      <c r="E117" s="508">
        <v>100000</v>
      </c>
      <c r="F117" s="508">
        <v>100000</v>
      </c>
    </row>
    <row r="118" spans="1:6" s="98" customFormat="1" ht="15.75">
      <c r="A118" s="99"/>
      <c r="B118" s="99" t="s">
        <v>900</v>
      </c>
      <c r="C118" s="60">
        <v>200000</v>
      </c>
      <c r="D118" s="518">
        <v>1750000</v>
      </c>
      <c r="E118" s="508">
        <v>1950000</v>
      </c>
      <c r="F118" s="508">
        <v>500000</v>
      </c>
    </row>
    <row r="119" spans="1:6" s="392" customFormat="1" ht="15.75">
      <c r="A119" s="99">
        <v>2210703</v>
      </c>
      <c r="B119" s="99" t="s">
        <v>72</v>
      </c>
      <c r="C119" s="60">
        <v>50000</v>
      </c>
      <c r="D119" s="518">
        <v>0</v>
      </c>
      <c r="E119" s="508">
        <v>50000</v>
      </c>
      <c r="F119" s="508">
        <v>50000</v>
      </c>
    </row>
    <row r="120" spans="1:6" ht="15.75">
      <c r="A120" s="99" t="s">
        <v>75</v>
      </c>
      <c r="B120" s="99" t="s">
        <v>76</v>
      </c>
      <c r="C120" s="60">
        <v>1000000</v>
      </c>
      <c r="D120" s="518"/>
      <c r="E120" s="508">
        <v>1000000</v>
      </c>
      <c r="F120" s="508">
        <v>1000000</v>
      </c>
    </row>
    <row r="121" spans="1:6" ht="15.75">
      <c r="A121" s="99" t="s">
        <v>80</v>
      </c>
      <c r="B121" s="99" t="s">
        <v>81</v>
      </c>
      <c r="C121" s="60">
        <v>500000</v>
      </c>
      <c r="D121" s="518">
        <v>200000</v>
      </c>
      <c r="E121" s="508">
        <v>700000</v>
      </c>
      <c r="F121" s="508">
        <v>500000</v>
      </c>
    </row>
    <row r="122" spans="1:6" ht="15.75">
      <c r="A122" s="99"/>
      <c r="B122" s="101" t="s">
        <v>84</v>
      </c>
      <c r="C122" s="60"/>
      <c r="D122" s="518"/>
      <c r="E122" s="508"/>
      <c r="F122" s="508"/>
    </row>
    <row r="123" spans="1:6" ht="15.75">
      <c r="A123" s="99" t="s">
        <v>82</v>
      </c>
      <c r="B123" s="99" t="s">
        <v>83</v>
      </c>
      <c r="C123" s="60">
        <v>100000</v>
      </c>
      <c r="D123" s="518"/>
      <c r="E123" s="508">
        <v>100000</v>
      </c>
      <c r="F123" s="508">
        <v>100000</v>
      </c>
    </row>
    <row r="124" spans="1:6" ht="15.75">
      <c r="A124" s="99" t="s">
        <v>85</v>
      </c>
      <c r="B124" s="99" t="s">
        <v>86</v>
      </c>
      <c r="C124" s="60">
        <v>200000</v>
      </c>
      <c r="D124" s="518"/>
      <c r="E124" s="508">
        <v>200000</v>
      </c>
      <c r="F124" s="508">
        <v>200000</v>
      </c>
    </row>
    <row r="125" spans="1:6" ht="15.75">
      <c r="A125" s="99"/>
      <c r="B125" s="101" t="s">
        <v>124</v>
      </c>
      <c r="C125" s="60"/>
      <c r="D125" s="518"/>
      <c r="E125" s="508"/>
      <c r="F125" s="508"/>
    </row>
    <row r="126" spans="1:6" ht="15.75">
      <c r="A126" s="99" t="s">
        <v>122</v>
      </c>
      <c r="B126" s="99" t="s">
        <v>123</v>
      </c>
      <c r="C126" s="60">
        <v>200000</v>
      </c>
      <c r="D126" s="518"/>
      <c r="E126" s="508">
        <v>200000</v>
      </c>
      <c r="F126" s="508">
        <v>200000</v>
      </c>
    </row>
    <row r="127" spans="1:6" ht="15.75">
      <c r="A127" s="99" t="s">
        <v>125</v>
      </c>
      <c r="B127" s="99" t="s">
        <v>126</v>
      </c>
      <c r="C127" s="60">
        <v>2887500</v>
      </c>
      <c r="D127" s="518"/>
      <c r="E127" s="508">
        <v>2887500</v>
      </c>
      <c r="F127" s="508">
        <v>1500000</v>
      </c>
    </row>
    <row r="128" spans="1:6" ht="15.75">
      <c r="A128" s="99" t="s">
        <v>127</v>
      </c>
      <c r="B128" s="99" t="s">
        <v>128</v>
      </c>
      <c r="C128" s="60">
        <v>50000</v>
      </c>
      <c r="D128" s="518"/>
      <c r="E128" s="508">
        <v>50000</v>
      </c>
      <c r="F128" s="508">
        <v>300000</v>
      </c>
    </row>
    <row r="129" spans="1:6" s="98" customFormat="1" ht="15.75">
      <c r="A129" s="99"/>
      <c r="B129" s="101" t="s">
        <v>136</v>
      </c>
      <c r="C129" s="60"/>
      <c r="D129" s="518"/>
      <c r="E129" s="508"/>
      <c r="F129" s="508"/>
    </row>
    <row r="130" spans="1:6" s="502" customFormat="1" ht="15.75">
      <c r="A130" s="85">
        <v>3111002</v>
      </c>
      <c r="B130" s="56" t="s">
        <v>327</v>
      </c>
      <c r="C130" s="63">
        <v>250000</v>
      </c>
      <c r="D130" s="576">
        <f>1075000-100000</f>
        <v>975000</v>
      </c>
      <c r="E130" s="63">
        <v>1225000</v>
      </c>
      <c r="F130" s="63"/>
    </row>
    <row r="131" spans="1:6" s="502" customFormat="1" ht="15.75">
      <c r="A131" s="85">
        <v>2211306</v>
      </c>
      <c r="B131" s="56" t="s">
        <v>963</v>
      </c>
      <c r="C131" s="63">
        <v>100000</v>
      </c>
      <c r="D131" s="576">
        <f>-100000+100000</f>
        <v>0</v>
      </c>
      <c r="E131" s="63">
        <v>100000</v>
      </c>
      <c r="F131" s="63">
        <v>100000</v>
      </c>
    </row>
    <row r="132" spans="1:6" s="98" customFormat="1" ht="15.75">
      <c r="A132" s="85">
        <v>3111001</v>
      </c>
      <c r="B132" s="56" t="s">
        <v>167</v>
      </c>
      <c r="C132" s="63">
        <v>350000</v>
      </c>
      <c r="D132" s="518">
        <v>0</v>
      </c>
      <c r="E132" s="508">
        <v>350000</v>
      </c>
      <c r="F132" s="508">
        <v>350000</v>
      </c>
    </row>
    <row r="133" spans="1:6" s="502" customFormat="1" ht="34.5" customHeight="1">
      <c r="A133" s="85">
        <v>2211311</v>
      </c>
      <c r="B133" s="56" t="s">
        <v>142</v>
      </c>
      <c r="C133" s="63">
        <v>2612500</v>
      </c>
      <c r="D133" s="576">
        <f>-612500+343497</f>
        <v>-269003</v>
      </c>
      <c r="E133" s="63">
        <v>2343497</v>
      </c>
      <c r="F133" s="63"/>
    </row>
    <row r="134" spans="1:6" ht="15.75">
      <c r="A134" s="99"/>
      <c r="B134" s="101" t="s">
        <v>154</v>
      </c>
      <c r="C134" s="60"/>
      <c r="D134" s="518"/>
      <c r="E134" s="508"/>
      <c r="F134" s="508"/>
    </row>
    <row r="135" spans="1:6" s="502" customFormat="1" ht="15.75">
      <c r="A135" s="56" t="s">
        <v>163</v>
      </c>
      <c r="B135" s="56" t="s">
        <v>164</v>
      </c>
      <c r="C135" s="63">
        <v>3000000</v>
      </c>
      <c r="D135" s="576">
        <f>2562000-343497</f>
        <v>2218503</v>
      </c>
      <c r="E135" s="63">
        <v>5218503</v>
      </c>
      <c r="F135" s="63">
        <v>5218503</v>
      </c>
    </row>
    <row r="136" spans="1:6" ht="15.75">
      <c r="A136" s="99" t="s">
        <v>165</v>
      </c>
      <c r="B136" s="99" t="s">
        <v>166</v>
      </c>
      <c r="C136" s="60">
        <v>3000000</v>
      </c>
      <c r="D136" s="518"/>
      <c r="E136" s="508">
        <v>3000000</v>
      </c>
      <c r="F136" s="508">
        <v>3000000</v>
      </c>
    </row>
    <row r="137" spans="1:6" ht="15.75">
      <c r="A137" s="6"/>
      <c r="B137" s="6" t="s">
        <v>791</v>
      </c>
      <c r="C137" s="61">
        <f>SUM(C102:C136)</f>
        <v>28450000</v>
      </c>
      <c r="D137" s="486">
        <f>SUM(D102:D136)</f>
        <v>3249500</v>
      </c>
      <c r="E137" s="61">
        <f>SUM(E102:E136)</f>
        <v>31699500</v>
      </c>
      <c r="F137" s="61">
        <f>SUM(F102:F136)</f>
        <v>25343503</v>
      </c>
    </row>
    <row r="138" spans="1:6" s="700" customFormat="1" ht="15.75" hidden="1">
      <c r="A138" s="179">
        <v>3100000</v>
      </c>
      <c r="B138" s="64" t="s">
        <v>763</v>
      </c>
      <c r="C138" s="104"/>
      <c r="D138" s="576"/>
      <c r="E138" s="63"/>
      <c r="F138" s="417"/>
    </row>
    <row r="139" spans="1:6" s="700" customFormat="1" ht="47.25" hidden="1">
      <c r="A139" s="156">
        <v>3111111</v>
      </c>
      <c r="B139" s="501" t="s">
        <v>950</v>
      </c>
      <c r="C139" s="713" t="e">
        <f>'PROJECTS DETAILS'!#REF!</f>
        <v>#REF!</v>
      </c>
      <c r="D139" s="543" t="e">
        <f>'PROJECTS DETAILS'!#REF!</f>
        <v>#REF!</v>
      </c>
      <c r="E139" s="713" t="e">
        <f aca="true" t="shared" si="0" ref="E139:E152">C139+D139</f>
        <v>#REF!</v>
      </c>
      <c r="F139" s="417"/>
    </row>
    <row r="140" spans="1:6" s="700" customFormat="1" ht="15.75" hidden="1">
      <c r="A140" s="156">
        <v>3111112</v>
      </c>
      <c r="B140" s="400" t="s">
        <v>531</v>
      </c>
      <c r="C140" s="713" t="e">
        <f>'PROJECTS DETAILS'!#REF!</f>
        <v>#REF!</v>
      </c>
      <c r="D140" s="543" t="e">
        <f>'PROJECTS DETAILS'!#REF!</f>
        <v>#REF!</v>
      </c>
      <c r="E140" s="713" t="e">
        <f t="shared" si="0"/>
        <v>#REF!</v>
      </c>
      <c r="F140" s="417"/>
    </row>
    <row r="141" spans="1:6" s="700" customFormat="1" ht="30" hidden="1">
      <c r="A141" s="156">
        <v>3111112</v>
      </c>
      <c r="B141" s="712" t="s">
        <v>951</v>
      </c>
      <c r="C141" s="713" t="e">
        <f>'PROJECTS DETAILS'!#REF!</f>
        <v>#REF!</v>
      </c>
      <c r="D141" s="543" t="e">
        <f>'PROJECTS DETAILS'!#REF!</f>
        <v>#REF!</v>
      </c>
      <c r="E141" s="713" t="e">
        <f t="shared" si="0"/>
        <v>#REF!</v>
      </c>
      <c r="F141" s="417"/>
    </row>
    <row r="142" spans="1:6" s="700" customFormat="1" ht="15.75" hidden="1">
      <c r="A142" s="156">
        <v>3111111</v>
      </c>
      <c r="B142" s="712" t="s">
        <v>952</v>
      </c>
      <c r="C142" s="714" t="e">
        <f>'PROJECTS DETAILS'!#REF!</f>
        <v>#REF!</v>
      </c>
      <c r="D142" s="543"/>
      <c r="E142" s="713" t="e">
        <f t="shared" si="0"/>
        <v>#REF!</v>
      </c>
      <c r="F142" s="417"/>
    </row>
    <row r="143" spans="1:6" s="700" customFormat="1" ht="15.75" hidden="1">
      <c r="A143" s="156">
        <v>3111112</v>
      </c>
      <c r="B143" s="712" t="s">
        <v>953</v>
      </c>
      <c r="C143" s="714" t="e">
        <f>'PROJECTS DETAILS'!#REF!</f>
        <v>#REF!</v>
      </c>
      <c r="D143" s="543" t="e">
        <f>'PROJECTS DETAILS'!#REF!</f>
        <v>#REF!</v>
      </c>
      <c r="E143" s="713" t="e">
        <f t="shared" si="0"/>
        <v>#REF!</v>
      </c>
      <c r="F143" s="417"/>
    </row>
    <row r="144" spans="1:6" s="700" customFormat="1" ht="30" hidden="1">
      <c r="A144" s="156"/>
      <c r="B144" s="712" t="s">
        <v>954</v>
      </c>
      <c r="C144" s="714" t="e">
        <f>'PROJECTS DETAILS'!#REF!</f>
        <v>#REF!</v>
      </c>
      <c r="D144" s="543" t="e">
        <f>'PROJECTS DETAILS'!#REF!</f>
        <v>#REF!</v>
      </c>
      <c r="E144" s="713" t="e">
        <f t="shared" si="0"/>
        <v>#REF!</v>
      </c>
      <c r="F144" s="417"/>
    </row>
    <row r="145" spans="1:6" s="700" customFormat="1" ht="30" hidden="1">
      <c r="A145" s="156"/>
      <c r="B145" s="712" t="s">
        <v>955</v>
      </c>
      <c r="C145" s="714" t="e">
        <f>'PROJECTS DETAILS'!#REF!</f>
        <v>#REF!</v>
      </c>
      <c r="D145" s="543" t="e">
        <f>'PROJECTS DETAILS'!#REF!</f>
        <v>#REF!</v>
      </c>
      <c r="E145" s="713" t="e">
        <f t="shared" si="0"/>
        <v>#REF!</v>
      </c>
      <c r="F145" s="417"/>
    </row>
    <row r="146" spans="1:6" s="700" customFormat="1" ht="15.75" hidden="1">
      <c r="A146" s="156">
        <v>3111112</v>
      </c>
      <c r="B146" s="712" t="s">
        <v>956</v>
      </c>
      <c r="C146" s="714" t="e">
        <f>'PROJECTS DETAILS'!#REF!</f>
        <v>#REF!</v>
      </c>
      <c r="D146" s="543" t="e">
        <f>'PROJECTS DETAILS'!#REF!</f>
        <v>#REF!</v>
      </c>
      <c r="E146" s="713" t="e">
        <f t="shared" si="0"/>
        <v>#REF!</v>
      </c>
      <c r="F146" s="417"/>
    </row>
    <row r="147" spans="1:6" s="700" customFormat="1" ht="31.5" hidden="1">
      <c r="A147" s="156"/>
      <c r="B147" s="498" t="s">
        <v>979</v>
      </c>
      <c r="C147" s="714" t="e">
        <f>'PROJECTS DETAILS'!#REF!</f>
        <v>#REF!</v>
      </c>
      <c r="D147" s="543" t="e">
        <f>'PROJECTS DETAILS'!#REF!</f>
        <v>#REF!</v>
      </c>
      <c r="E147" s="713" t="e">
        <f t="shared" si="0"/>
        <v>#REF!</v>
      </c>
      <c r="F147" s="417"/>
    </row>
    <row r="148" spans="1:6" s="700" customFormat="1" ht="31.5" hidden="1">
      <c r="A148" s="156"/>
      <c r="B148" s="498" t="s">
        <v>980</v>
      </c>
      <c r="C148" s="714" t="e">
        <f>'PROJECTS DETAILS'!#REF!</f>
        <v>#REF!</v>
      </c>
      <c r="D148" s="543" t="e">
        <f>'PROJECTS DETAILS'!#REF!</f>
        <v>#REF!</v>
      </c>
      <c r="E148" s="713" t="e">
        <f t="shared" si="0"/>
        <v>#REF!</v>
      </c>
      <c r="F148" s="417"/>
    </row>
    <row r="149" spans="1:6" s="700" customFormat="1" ht="30" hidden="1">
      <c r="A149" s="156">
        <v>3111111</v>
      </c>
      <c r="B149" s="712" t="s">
        <v>957</v>
      </c>
      <c r="C149" s="714" t="e">
        <f>'PROJECTS DETAILS'!#REF!</f>
        <v>#REF!</v>
      </c>
      <c r="D149" s="543" t="e">
        <f>'PROJECTS DETAILS'!#REF!</f>
        <v>#REF!</v>
      </c>
      <c r="E149" s="713" t="e">
        <f t="shared" si="0"/>
        <v>#REF!</v>
      </c>
      <c r="F149" s="417"/>
    </row>
    <row r="150" spans="1:6" s="700" customFormat="1" ht="30" hidden="1">
      <c r="A150" s="156">
        <v>3111111</v>
      </c>
      <c r="B150" s="712" t="s">
        <v>958</v>
      </c>
      <c r="C150" s="714" t="e">
        <f>'PROJECTS DETAILS'!#REF!</f>
        <v>#REF!</v>
      </c>
      <c r="D150" s="543" t="e">
        <f>'PROJECTS DETAILS'!#REF!</f>
        <v>#REF!</v>
      </c>
      <c r="E150" s="713" t="e">
        <f t="shared" si="0"/>
        <v>#REF!</v>
      </c>
      <c r="F150" s="417"/>
    </row>
    <row r="151" spans="1:6" s="700" customFormat="1" ht="31.5" hidden="1">
      <c r="A151" s="156"/>
      <c r="B151" s="501" t="s">
        <v>1051</v>
      </c>
      <c r="C151" s="714"/>
      <c r="D151" s="543" t="e">
        <f>'PROJECTS DETAILS'!#REF!</f>
        <v>#REF!</v>
      </c>
      <c r="E151" s="713" t="e">
        <f t="shared" si="0"/>
        <v>#REF!</v>
      </c>
      <c r="F151" s="417"/>
    </row>
    <row r="152" spans="1:6" s="700" customFormat="1" ht="30" hidden="1">
      <c r="A152" s="156">
        <v>3111112</v>
      </c>
      <c r="B152" s="712" t="s">
        <v>959</v>
      </c>
      <c r="C152" s="714" t="e">
        <f>'PROJECTS DETAILS'!#REF!</f>
        <v>#REF!</v>
      </c>
      <c r="D152" s="543" t="e">
        <f>'PROJECTS DETAILS'!#REF!</f>
        <v>#REF!</v>
      </c>
      <c r="E152" s="713" t="e">
        <f t="shared" si="0"/>
        <v>#REF!</v>
      </c>
      <c r="F152" s="417"/>
    </row>
    <row r="153" spans="1:6" s="2" customFormat="1" ht="15.75" hidden="1">
      <c r="A153" s="6" t="s">
        <v>170</v>
      </c>
      <c r="B153" s="6"/>
      <c r="C153" s="61" t="e">
        <f>SUM(C139:C152)</f>
        <v>#REF!</v>
      </c>
      <c r="D153" s="486" t="e">
        <f>SUM(D139:D152)</f>
        <v>#REF!</v>
      </c>
      <c r="E153" s="61"/>
      <c r="F153" s="61"/>
    </row>
    <row r="154" spans="1:6" s="2" customFormat="1" ht="15.75">
      <c r="A154" s="6"/>
      <c r="B154" s="6" t="s">
        <v>792</v>
      </c>
      <c r="C154" s="61" t="e">
        <f>SUM(C153,C137)</f>
        <v>#REF!</v>
      </c>
      <c r="D154" s="486" t="e">
        <f>SUM(D153,D137)</f>
        <v>#REF!</v>
      </c>
      <c r="E154" s="61">
        <f>SUM(E153,E137)</f>
        <v>31699500</v>
      </c>
      <c r="F154" s="61">
        <f>SUM(F153,F137)</f>
        <v>25343503</v>
      </c>
    </row>
    <row r="155" spans="1:6" ht="15.75">
      <c r="A155" s="6"/>
      <c r="B155" s="6" t="s">
        <v>171</v>
      </c>
      <c r="C155" s="61">
        <f>SUM(C137,C99,C74,C41)</f>
        <v>110270000</v>
      </c>
      <c r="D155" s="486">
        <f>SUM(D137,D99,D74,D41)</f>
        <v>59599500</v>
      </c>
      <c r="E155" s="61">
        <f>SUM(E137,E99,E74,E41)</f>
        <v>169869500</v>
      </c>
      <c r="F155" s="61">
        <f>SUM(F137,F99,F74,F41)</f>
        <v>135586938</v>
      </c>
    </row>
    <row r="156" spans="1:6" ht="15.75">
      <c r="A156" s="6"/>
      <c r="B156" s="6" t="s">
        <v>784</v>
      </c>
      <c r="C156" s="61">
        <f>C155</f>
        <v>110270000</v>
      </c>
      <c r="D156" s="486">
        <f>D155</f>
        <v>59599500</v>
      </c>
      <c r="E156" s="61">
        <f>E155</f>
        <v>169869500</v>
      </c>
      <c r="F156" s="61">
        <f>F155</f>
        <v>135586938</v>
      </c>
    </row>
    <row r="157" spans="1:6" s="98" customFormat="1" ht="15.75">
      <c r="A157" s="6"/>
      <c r="B157" s="6" t="s">
        <v>787</v>
      </c>
      <c r="C157" s="61" t="e">
        <f>SUM(C153)</f>
        <v>#REF!</v>
      </c>
      <c r="D157" s="486" t="e">
        <f>SUM(D153)</f>
        <v>#REF!</v>
      </c>
      <c r="E157" s="61">
        <f>SUM(E153)</f>
        <v>0</v>
      </c>
      <c r="F157" s="61">
        <f>SUM(F153)</f>
        <v>0</v>
      </c>
    </row>
    <row r="158" spans="1:6" s="98" customFormat="1" ht="15.75">
      <c r="A158" s="6"/>
      <c r="B158" s="6" t="s">
        <v>790</v>
      </c>
      <c r="C158" s="61" t="e">
        <f>SUM(C156:C157)</f>
        <v>#REF!</v>
      </c>
      <c r="D158" s="486" t="e">
        <f>SUM(D156:D157)</f>
        <v>#REF!</v>
      </c>
      <c r="E158" s="61">
        <f>SUM(E156:E157)</f>
        <v>169869500</v>
      </c>
      <c r="F158" s="61">
        <f>SUM(F156:F157)</f>
        <v>135586938</v>
      </c>
    </row>
    <row r="159" ht="15.75">
      <c r="E159" s="102">
        <f>E158+FINANCE!E221</f>
        <v>1350296559</v>
      </c>
    </row>
    <row r="160" ht="15.75">
      <c r="C160" s="178"/>
    </row>
  </sheetData>
  <sheetProtection/>
  <mergeCells count="2">
    <mergeCell ref="A2:B2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1"/>
  <rowBreaks count="2" manualBreakCount="2">
    <brk id="64" max="5" man="1"/>
    <brk id="126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29"/>
  <sheetViews>
    <sheetView view="pageBreakPreview" zoomScale="120" zoomScaleSheetLayoutView="120" zoomScalePageLayoutView="0" workbookViewId="0" topLeftCell="A1">
      <pane ySplit="2" topLeftCell="A3" activePane="bottomLeft" state="frozen"/>
      <selection pane="topLeft" activeCell="E12" sqref="E12"/>
      <selection pane="bottomLeft" activeCell="A106" sqref="A106:IV112"/>
    </sheetView>
  </sheetViews>
  <sheetFormatPr defaultColWidth="9.140625" defaultRowHeight="15"/>
  <cols>
    <col min="1" max="1" width="10.7109375" style="181" customWidth="1"/>
    <col min="2" max="2" width="68.00390625" style="0" customWidth="1"/>
    <col min="3" max="3" width="15.00390625" style="9" hidden="1" customWidth="1"/>
    <col min="4" max="4" width="13.7109375" style="544" hidden="1" customWidth="1"/>
    <col min="5" max="5" width="15.00390625" style="9" customWidth="1"/>
    <col min="6" max="6" width="19.7109375" style="805" customWidth="1"/>
  </cols>
  <sheetData>
    <row r="1" spans="1:3" ht="15.75">
      <c r="A1" s="921" t="s">
        <v>213</v>
      </c>
      <c r="B1" s="928"/>
      <c r="C1" s="105"/>
    </row>
    <row r="2" spans="1:6" ht="57.75">
      <c r="A2" s="917" t="s">
        <v>168</v>
      </c>
      <c r="B2" s="918"/>
      <c r="C2" s="109" t="s">
        <v>996</v>
      </c>
      <c r="D2" s="545"/>
      <c r="E2" s="427" t="s">
        <v>997</v>
      </c>
      <c r="F2" s="806" t="s">
        <v>1068</v>
      </c>
    </row>
    <row r="3" spans="1:6" s="98" customFormat="1" ht="15.75">
      <c r="A3" s="202">
        <v>10805</v>
      </c>
      <c r="B3" s="200" t="s">
        <v>723</v>
      </c>
      <c r="C3" s="109"/>
      <c r="D3" s="545"/>
      <c r="E3" s="105"/>
      <c r="F3" s="800"/>
    </row>
    <row r="4" spans="1:6" s="504" customFormat="1" ht="15.75">
      <c r="A4" s="200">
        <v>10801</v>
      </c>
      <c r="B4" s="200" t="s">
        <v>680</v>
      </c>
      <c r="C4" s="109"/>
      <c r="D4" s="833"/>
      <c r="E4" s="105"/>
      <c r="F4" s="828"/>
    </row>
    <row r="5" spans="1:6" s="504" customFormat="1" ht="15.75">
      <c r="A5" s="200">
        <v>2100000</v>
      </c>
      <c r="B5" s="200" t="s">
        <v>678</v>
      </c>
      <c r="C5" s="109"/>
      <c r="D5" s="833"/>
      <c r="E5" s="105"/>
      <c r="F5" s="828"/>
    </row>
    <row r="6" spans="1:6" s="504" customFormat="1" ht="15.75">
      <c r="A6" s="135"/>
      <c r="B6" s="101" t="s">
        <v>2</v>
      </c>
      <c r="C6" s="109"/>
      <c r="D6" s="833"/>
      <c r="E6" s="105"/>
      <c r="F6" s="828"/>
    </row>
    <row r="7" spans="1:6" s="504" customFormat="1" ht="15.75">
      <c r="A7" s="506" t="s">
        <v>0</v>
      </c>
      <c r="B7" s="5" t="s">
        <v>1</v>
      </c>
      <c r="C7" s="109"/>
      <c r="D7" s="833"/>
      <c r="E7" s="105">
        <v>216058862</v>
      </c>
      <c r="F7" s="828">
        <v>219083686</v>
      </c>
    </row>
    <row r="8" spans="1:6" s="504" customFormat="1" ht="15.75">
      <c r="A8" s="140" t="s">
        <v>170</v>
      </c>
      <c r="B8" s="6"/>
      <c r="C8" s="109"/>
      <c r="D8" s="833"/>
      <c r="E8" s="842">
        <f>SUM(E7)</f>
        <v>216058862</v>
      </c>
      <c r="F8" s="842">
        <f>SUM(F7)</f>
        <v>219083686</v>
      </c>
    </row>
    <row r="9" spans="1:6" s="504" customFormat="1" ht="15.75">
      <c r="A9" s="506"/>
      <c r="B9" s="101" t="s">
        <v>5</v>
      </c>
      <c r="C9" s="109"/>
      <c r="D9" s="833"/>
      <c r="E9" s="105"/>
      <c r="F9" s="828"/>
    </row>
    <row r="10" spans="1:6" s="504" customFormat="1" ht="15.75">
      <c r="A10" s="506" t="s">
        <v>3</v>
      </c>
      <c r="B10" s="505" t="s">
        <v>4</v>
      </c>
      <c r="C10" s="109"/>
      <c r="D10" s="833"/>
      <c r="E10" s="105">
        <v>29431406</v>
      </c>
      <c r="F10" s="828">
        <v>30902976</v>
      </c>
    </row>
    <row r="11" spans="1:6" s="504" customFormat="1" ht="15.75">
      <c r="A11" s="506" t="s">
        <v>6</v>
      </c>
      <c r="B11" s="505" t="s">
        <v>7</v>
      </c>
      <c r="C11" s="109"/>
      <c r="D11" s="833"/>
      <c r="E11" s="105">
        <v>258060</v>
      </c>
      <c r="F11" s="828">
        <v>270963</v>
      </c>
    </row>
    <row r="12" spans="1:6" s="504" customFormat="1" ht="15.75">
      <c r="A12" s="506" t="s">
        <v>10</v>
      </c>
      <c r="B12" s="505" t="s">
        <v>11</v>
      </c>
      <c r="C12" s="109"/>
      <c r="D12" s="833"/>
      <c r="E12" s="105">
        <v>21607740</v>
      </c>
      <c r="F12" s="828">
        <v>22688127</v>
      </c>
    </row>
    <row r="13" spans="1:6" s="504" customFormat="1" ht="15.75">
      <c r="A13" s="506" t="s">
        <v>12</v>
      </c>
      <c r="B13" s="505" t="s">
        <v>13</v>
      </c>
      <c r="C13" s="109"/>
      <c r="D13" s="833"/>
      <c r="E13" s="105">
        <v>2307690</v>
      </c>
      <c r="F13" s="828">
        <v>2423074</v>
      </c>
    </row>
    <row r="14" spans="1:6" s="504" customFormat="1" ht="15.75">
      <c r="A14" s="506" t="s">
        <v>14</v>
      </c>
      <c r="B14" s="505" t="s">
        <v>15</v>
      </c>
      <c r="C14" s="109"/>
      <c r="D14" s="833"/>
      <c r="E14" s="105">
        <v>1459458</v>
      </c>
      <c r="F14" s="828">
        <v>1532430</v>
      </c>
    </row>
    <row r="15" spans="1:6" s="504" customFormat="1" ht="15.75">
      <c r="A15" s="140" t="s">
        <v>170</v>
      </c>
      <c r="B15" s="6"/>
      <c r="C15" s="109"/>
      <c r="D15" s="833"/>
      <c r="E15" s="842">
        <f>SUM(E10:E14)</f>
        <v>55064354</v>
      </c>
      <c r="F15" s="842">
        <f>SUM(F10:F14)</f>
        <v>57817570</v>
      </c>
    </row>
    <row r="16" spans="1:6" s="504" customFormat="1" ht="15.75">
      <c r="A16" s="140" t="s">
        <v>173</v>
      </c>
      <c r="B16" s="6"/>
      <c r="C16" s="109"/>
      <c r="D16" s="833"/>
      <c r="E16" s="842">
        <f>SUM(E15,E8)</f>
        <v>271123216</v>
      </c>
      <c r="F16" s="842">
        <f>SUM(F15,F8)</f>
        <v>276901256</v>
      </c>
    </row>
    <row r="17" spans="1:6" s="98" customFormat="1" ht="15.75">
      <c r="A17" s="202">
        <v>2200000</v>
      </c>
      <c r="B17" s="64" t="s">
        <v>679</v>
      </c>
      <c r="C17" s="109"/>
      <c r="D17" s="545"/>
      <c r="E17" s="105"/>
      <c r="F17" s="800"/>
    </row>
    <row r="18" spans="1:6" ht="15.75">
      <c r="A18" s="12"/>
      <c r="B18" s="101" t="s">
        <v>21</v>
      </c>
      <c r="C18" s="105"/>
      <c r="D18" s="545"/>
      <c r="E18" s="105"/>
      <c r="F18" s="800"/>
    </row>
    <row r="19" spans="1:6" ht="15.75">
      <c r="A19" s="12" t="s">
        <v>19</v>
      </c>
      <c r="B19" s="4" t="s">
        <v>20</v>
      </c>
      <c r="C19" s="100">
        <v>100000</v>
      </c>
      <c r="D19" s="545">
        <v>200000</v>
      </c>
      <c r="E19" s="105">
        <f>C19+D19</f>
        <v>300000</v>
      </c>
      <c r="F19" s="804">
        <v>500000</v>
      </c>
    </row>
    <row r="20" spans="1:6" ht="15.75">
      <c r="A20" s="12" t="s">
        <v>22</v>
      </c>
      <c r="B20" s="4" t="s">
        <v>23</v>
      </c>
      <c r="C20" s="100">
        <v>150000</v>
      </c>
      <c r="D20" s="545">
        <v>-125000</v>
      </c>
      <c r="E20" s="105">
        <f>C20+D20</f>
        <v>25000</v>
      </c>
      <c r="F20" s="804">
        <v>500000</v>
      </c>
    </row>
    <row r="21" spans="1:6" ht="15.75">
      <c r="A21" s="140" t="s">
        <v>170</v>
      </c>
      <c r="B21" s="6"/>
      <c r="C21" s="7">
        <f>SUM(C19:C20)</f>
        <v>250000</v>
      </c>
      <c r="D21" s="492">
        <f>SUM(D19:D20)</f>
        <v>75000</v>
      </c>
      <c r="E21" s="7">
        <f>SUM(E19:E20)</f>
        <v>325000</v>
      </c>
      <c r="F21" s="492">
        <f>SUM(F19:F20)</f>
        <v>1000000</v>
      </c>
    </row>
    <row r="22" spans="1:6" ht="15.75">
      <c r="A22" s="12"/>
      <c r="B22" s="101" t="s">
        <v>28</v>
      </c>
      <c r="C22" s="100"/>
      <c r="D22" s="545"/>
      <c r="E22" s="105"/>
      <c r="F22" s="800"/>
    </row>
    <row r="23" spans="1:6" ht="15.75">
      <c r="A23" s="12" t="s">
        <v>26</v>
      </c>
      <c r="B23" s="4" t="s">
        <v>27</v>
      </c>
      <c r="C23" s="100">
        <v>150000</v>
      </c>
      <c r="D23" s="545">
        <v>-75000</v>
      </c>
      <c r="E23" s="105">
        <f>C23+D23</f>
        <v>75000</v>
      </c>
      <c r="F23" s="804">
        <v>500000</v>
      </c>
    </row>
    <row r="24" spans="1:6" ht="15.75">
      <c r="A24" s="12" t="s">
        <v>31</v>
      </c>
      <c r="B24" s="4" t="s">
        <v>32</v>
      </c>
      <c r="C24" s="100">
        <v>20000</v>
      </c>
      <c r="D24" s="545"/>
      <c r="E24" s="105">
        <f>C24+D24</f>
        <v>20000</v>
      </c>
      <c r="F24" s="804">
        <v>100000</v>
      </c>
    </row>
    <row r="25" spans="1:6" ht="15.75">
      <c r="A25" s="140" t="s">
        <v>170</v>
      </c>
      <c r="B25" s="6"/>
      <c r="C25" s="7">
        <f>SUM(C23:C24)</f>
        <v>170000</v>
      </c>
      <c r="D25" s="492">
        <f>SUM(D23:D24)</f>
        <v>-75000</v>
      </c>
      <c r="E25" s="7">
        <f>SUM(E23:E24)</f>
        <v>95000</v>
      </c>
      <c r="F25" s="492">
        <f>SUM(F23:F24)</f>
        <v>600000</v>
      </c>
    </row>
    <row r="26" spans="1:6" ht="15.75">
      <c r="A26" s="12"/>
      <c r="B26" s="101" t="s">
        <v>35</v>
      </c>
      <c r="C26" s="100"/>
      <c r="D26" s="545"/>
      <c r="E26" s="105"/>
      <c r="F26" s="800"/>
    </row>
    <row r="27" spans="1:6" ht="15.75">
      <c r="A27" s="12" t="s">
        <v>33</v>
      </c>
      <c r="B27" s="4" t="s">
        <v>34</v>
      </c>
      <c r="C27" s="100">
        <v>200000</v>
      </c>
      <c r="D27" s="545"/>
      <c r="E27" s="105">
        <f>C27+D27</f>
        <v>200000</v>
      </c>
      <c r="F27" s="804">
        <v>200000</v>
      </c>
    </row>
    <row r="28" spans="1:6" ht="15.75">
      <c r="A28" s="12" t="s">
        <v>36</v>
      </c>
      <c r="B28" s="4" t="s">
        <v>37</v>
      </c>
      <c r="C28" s="100">
        <v>1000000</v>
      </c>
      <c r="D28" s="545"/>
      <c r="E28" s="105">
        <f>C28+D28</f>
        <v>1000000</v>
      </c>
      <c r="F28" s="804">
        <v>1000000</v>
      </c>
    </row>
    <row r="29" spans="1:6" ht="15.75">
      <c r="A29" s="12" t="s">
        <v>38</v>
      </c>
      <c r="B29" s="4" t="s">
        <v>39</v>
      </c>
      <c r="C29" s="100">
        <v>1000000</v>
      </c>
      <c r="D29" s="545"/>
      <c r="E29" s="105">
        <f>C29+D29</f>
        <v>1000000</v>
      </c>
      <c r="F29" s="804">
        <v>1000000</v>
      </c>
    </row>
    <row r="30" spans="1:6" ht="15.75">
      <c r="A30" s="12" t="s">
        <v>40</v>
      </c>
      <c r="B30" s="4" t="s">
        <v>41</v>
      </c>
      <c r="C30" s="100">
        <v>50000</v>
      </c>
      <c r="D30" s="545"/>
      <c r="E30" s="105">
        <f>C30+D30</f>
        <v>50000</v>
      </c>
      <c r="F30" s="804"/>
    </row>
    <row r="31" spans="1:6" ht="15.75">
      <c r="A31" s="140" t="s">
        <v>170</v>
      </c>
      <c r="B31" s="6"/>
      <c r="C31" s="7">
        <f>SUM(C27:C30)</f>
        <v>2250000</v>
      </c>
      <c r="D31" s="492">
        <f>SUM(D27:D30)</f>
        <v>0</v>
      </c>
      <c r="E31" s="7">
        <f>SUM(E27:E30)</f>
        <v>2250000</v>
      </c>
      <c r="F31" s="492">
        <f>SUM(F27:F30)</f>
        <v>2200000</v>
      </c>
    </row>
    <row r="32" spans="1:6" ht="15.75">
      <c r="A32" s="12"/>
      <c r="B32" s="101" t="s">
        <v>44</v>
      </c>
      <c r="C32" s="100"/>
      <c r="D32" s="545"/>
      <c r="E32" s="105"/>
      <c r="F32" s="800"/>
    </row>
    <row r="33" spans="1:6" ht="15.75">
      <c r="A33" s="12" t="s">
        <v>42</v>
      </c>
      <c r="B33" s="4" t="s">
        <v>43</v>
      </c>
      <c r="C33" s="100">
        <v>300000</v>
      </c>
      <c r="D33" s="545">
        <v>-150000</v>
      </c>
      <c r="E33" s="105">
        <f>C33+D33</f>
        <v>150000</v>
      </c>
      <c r="F33" s="804">
        <v>150000</v>
      </c>
    </row>
    <row r="34" spans="1:6" ht="15.75">
      <c r="A34" s="12" t="s">
        <v>45</v>
      </c>
      <c r="B34" s="4" t="s">
        <v>46</v>
      </c>
      <c r="C34" s="100">
        <v>750000</v>
      </c>
      <c r="D34" s="545">
        <v>-375000</v>
      </c>
      <c r="E34" s="105">
        <f>C34+D34</f>
        <v>375000</v>
      </c>
      <c r="F34" s="804">
        <v>500000</v>
      </c>
    </row>
    <row r="35" spans="1:6" ht="15.75">
      <c r="A35" s="12" t="s">
        <v>47</v>
      </c>
      <c r="B35" s="4" t="s">
        <v>39</v>
      </c>
      <c r="C35" s="100">
        <v>750000</v>
      </c>
      <c r="D35" s="545">
        <v>-375000</v>
      </c>
      <c r="E35" s="105">
        <f>C35+D35</f>
        <v>375000</v>
      </c>
      <c r="F35" s="804">
        <v>700000</v>
      </c>
    </row>
    <row r="36" spans="1:6" ht="15.75">
      <c r="A36" s="12" t="s">
        <v>48</v>
      </c>
      <c r="B36" s="4" t="s">
        <v>49</v>
      </c>
      <c r="C36" s="100">
        <v>50000</v>
      </c>
      <c r="D36" s="545">
        <v>-25000</v>
      </c>
      <c r="E36" s="105">
        <f>C36+D36</f>
        <v>25000</v>
      </c>
      <c r="F36" s="804">
        <v>50000</v>
      </c>
    </row>
    <row r="37" spans="1:6" ht="15.75">
      <c r="A37" s="140" t="s">
        <v>170</v>
      </c>
      <c r="B37" s="6"/>
      <c r="C37" s="7">
        <f>SUM(C33:C36)</f>
        <v>1850000</v>
      </c>
      <c r="D37" s="492">
        <f>SUM(D33:D36)</f>
        <v>-925000</v>
      </c>
      <c r="E37" s="7">
        <f>SUM(E33:E36)</f>
        <v>925000</v>
      </c>
      <c r="F37" s="492">
        <f>SUM(F33:F36)</f>
        <v>1400000</v>
      </c>
    </row>
    <row r="38" spans="1:6" ht="15.75">
      <c r="A38" s="12"/>
      <c r="B38" s="101" t="s">
        <v>50</v>
      </c>
      <c r="C38" s="100"/>
      <c r="D38" s="545"/>
      <c r="E38" s="105"/>
      <c r="F38" s="800"/>
    </row>
    <row r="39" spans="1:6" ht="15.75">
      <c r="A39" s="12" t="s">
        <v>51</v>
      </c>
      <c r="B39" s="4" t="s">
        <v>52</v>
      </c>
      <c r="C39" s="100">
        <v>100000</v>
      </c>
      <c r="D39" s="497">
        <v>420000</v>
      </c>
      <c r="E39" s="105">
        <f>C39+D39</f>
        <v>520000</v>
      </c>
      <c r="F39" s="804">
        <v>300000</v>
      </c>
    </row>
    <row r="40" spans="1:6" ht="15.75">
      <c r="A40" s="12" t="s">
        <v>53</v>
      </c>
      <c r="B40" s="4" t="s">
        <v>54</v>
      </c>
      <c r="C40" s="100">
        <v>20000</v>
      </c>
      <c r="D40" s="545"/>
      <c r="E40" s="105">
        <f>C40+D40</f>
        <v>20000</v>
      </c>
      <c r="F40" s="804">
        <v>30000</v>
      </c>
    </row>
    <row r="41" spans="1:6" ht="15.75">
      <c r="A41" s="12" t="s">
        <v>55</v>
      </c>
      <c r="B41" s="4" t="s">
        <v>56</v>
      </c>
      <c r="C41" s="100">
        <v>200000</v>
      </c>
      <c r="D41" s="545"/>
      <c r="E41" s="105">
        <f>C41+D41</f>
        <v>200000</v>
      </c>
      <c r="F41" s="804">
        <v>200000</v>
      </c>
    </row>
    <row r="42" spans="1:6" ht="15.75">
      <c r="A42" s="12" t="s">
        <v>57</v>
      </c>
      <c r="B42" s="4" t="s">
        <v>209</v>
      </c>
      <c r="C42" s="126">
        <v>1500000</v>
      </c>
      <c r="D42" s="542">
        <v>829300</v>
      </c>
      <c r="E42" s="105">
        <f>C42+D42</f>
        <v>2329300</v>
      </c>
      <c r="F42" s="804">
        <v>2000000</v>
      </c>
    </row>
    <row r="43" spans="1:6" ht="15.75">
      <c r="A43" s="140" t="s">
        <v>170</v>
      </c>
      <c r="B43" s="6"/>
      <c r="C43" s="7">
        <f>SUM(C39:C42)</f>
        <v>1820000</v>
      </c>
      <c r="D43" s="492">
        <f>SUM(D39:D42)</f>
        <v>1249300</v>
      </c>
      <c r="E43" s="7">
        <f>SUM(E39:E42)</f>
        <v>3069300</v>
      </c>
      <c r="F43" s="492">
        <f>SUM(F39:F42)</f>
        <v>2530000</v>
      </c>
    </row>
    <row r="44" spans="1:6" ht="15.75">
      <c r="A44" s="12"/>
      <c r="B44" s="101" t="s">
        <v>68</v>
      </c>
      <c r="C44" s="100"/>
      <c r="D44" s="545"/>
      <c r="E44" s="105"/>
      <c r="F44" s="800"/>
    </row>
    <row r="45" spans="1:6" ht="15.75">
      <c r="A45" s="12" t="s">
        <v>66</v>
      </c>
      <c r="B45" s="4" t="s">
        <v>67</v>
      </c>
      <c r="C45" s="100">
        <v>100000</v>
      </c>
      <c r="D45" s="545"/>
      <c r="E45" s="105">
        <f aca="true" t="shared" si="0" ref="E45:E50">C45+D45</f>
        <v>100000</v>
      </c>
      <c r="F45" s="804">
        <v>300000</v>
      </c>
    </row>
    <row r="46" spans="1:6" ht="15.75">
      <c r="A46" s="12" t="s">
        <v>69</v>
      </c>
      <c r="B46" s="4" t="s">
        <v>70</v>
      </c>
      <c r="C46" s="100">
        <v>0</v>
      </c>
      <c r="D46" s="545"/>
      <c r="E46" s="105">
        <f t="shared" si="0"/>
        <v>0</v>
      </c>
      <c r="F46" s="804">
        <v>0</v>
      </c>
    </row>
    <row r="47" spans="1:6" ht="15.75">
      <c r="A47" s="12" t="s">
        <v>71</v>
      </c>
      <c r="B47" s="4" t="s">
        <v>72</v>
      </c>
      <c r="C47" s="100">
        <v>0</v>
      </c>
      <c r="D47" s="545"/>
      <c r="E47" s="105">
        <f t="shared" si="0"/>
        <v>0</v>
      </c>
      <c r="F47" s="804">
        <v>50000</v>
      </c>
    </row>
    <row r="48" spans="1:6" ht="15.75">
      <c r="A48" s="12" t="s">
        <v>73</v>
      </c>
      <c r="B48" s="4" t="s">
        <v>74</v>
      </c>
      <c r="C48" s="100">
        <v>0</v>
      </c>
      <c r="D48" s="545"/>
      <c r="E48" s="105">
        <f t="shared" si="0"/>
        <v>0</v>
      </c>
      <c r="F48" s="804">
        <v>100000</v>
      </c>
    </row>
    <row r="49" spans="1:6" ht="15.75">
      <c r="A49" s="12" t="s">
        <v>75</v>
      </c>
      <c r="B49" s="4" t="s">
        <v>76</v>
      </c>
      <c r="C49" s="100">
        <v>500000</v>
      </c>
      <c r="D49" s="545"/>
      <c r="E49" s="105">
        <f t="shared" si="0"/>
        <v>500000</v>
      </c>
      <c r="F49" s="804">
        <v>400000</v>
      </c>
    </row>
    <row r="50" spans="1:6" ht="15.75">
      <c r="A50" s="12" t="s">
        <v>77</v>
      </c>
      <c r="B50" s="4" t="s">
        <v>78</v>
      </c>
      <c r="C50" s="100">
        <v>500000</v>
      </c>
      <c r="D50" s="545"/>
      <c r="E50" s="105">
        <f t="shared" si="0"/>
        <v>500000</v>
      </c>
      <c r="F50" s="804">
        <v>1000000</v>
      </c>
    </row>
    <row r="51" spans="1:6" ht="15.75">
      <c r="A51" s="140" t="s">
        <v>170</v>
      </c>
      <c r="B51" s="6"/>
      <c r="C51" s="7">
        <f>SUM(C45:C50)</f>
        <v>1100000</v>
      </c>
      <c r="D51" s="492">
        <f>SUM(D45:D50)</f>
        <v>0</v>
      </c>
      <c r="E51" s="7">
        <f>SUM(E45:E50)</f>
        <v>1100000</v>
      </c>
      <c r="F51" s="492">
        <f>SUM(F45:F50)</f>
        <v>1850000</v>
      </c>
    </row>
    <row r="52" spans="1:6" ht="15.75">
      <c r="A52" s="12"/>
      <c r="B52" s="101" t="s">
        <v>84</v>
      </c>
      <c r="C52" s="100"/>
      <c r="D52" s="545"/>
      <c r="E52" s="105"/>
      <c r="F52" s="800"/>
    </row>
    <row r="53" spans="1:6" ht="15.75">
      <c r="A53" s="12" t="s">
        <v>82</v>
      </c>
      <c r="B53" s="4" t="s">
        <v>83</v>
      </c>
      <c r="C53" s="100">
        <v>250000</v>
      </c>
      <c r="D53" s="545"/>
      <c r="E53" s="105">
        <f>C53+D53</f>
        <v>250000</v>
      </c>
      <c r="F53" s="804">
        <v>400000</v>
      </c>
    </row>
    <row r="54" spans="1:6" ht="15.75">
      <c r="A54" s="12" t="s">
        <v>85</v>
      </c>
      <c r="B54" s="4" t="s">
        <v>86</v>
      </c>
      <c r="C54" s="100">
        <v>500000</v>
      </c>
      <c r="D54" s="545">
        <v>300000</v>
      </c>
      <c r="E54" s="105">
        <f>C54+D54</f>
        <v>800000</v>
      </c>
      <c r="F54" s="807">
        <v>3000000</v>
      </c>
    </row>
    <row r="55" spans="1:6" ht="15.75">
      <c r="A55" s="140" t="s">
        <v>170</v>
      </c>
      <c r="B55" s="6"/>
      <c r="C55" s="7">
        <f>SUM(C53:C54)</f>
        <v>750000</v>
      </c>
      <c r="D55" s="492">
        <f>SUM(D53:D54)</f>
        <v>300000</v>
      </c>
      <c r="E55" s="7">
        <f>SUM(E53:E54)</f>
        <v>1050000</v>
      </c>
      <c r="F55" s="492">
        <f>SUM(F53:F54)</f>
        <v>3400000</v>
      </c>
    </row>
    <row r="56" spans="1:6" ht="15.75">
      <c r="A56" s="12"/>
      <c r="B56" s="101" t="s">
        <v>124</v>
      </c>
      <c r="C56" s="100"/>
      <c r="D56" s="545"/>
      <c r="E56" s="105"/>
      <c r="F56" s="800"/>
    </row>
    <row r="57" spans="1:6" ht="15.75">
      <c r="A57" s="12" t="s">
        <v>122</v>
      </c>
      <c r="B57" s="4" t="s">
        <v>123</v>
      </c>
      <c r="C57" s="100">
        <v>500000</v>
      </c>
      <c r="D57" s="497">
        <v>725000</v>
      </c>
      <c r="E57" s="105">
        <f>C57+D57</f>
        <v>1225000</v>
      </c>
      <c r="F57" s="804">
        <v>1000000</v>
      </c>
    </row>
    <row r="58" spans="1:6" ht="15.75">
      <c r="A58" s="12" t="s">
        <v>125</v>
      </c>
      <c r="B58" s="4" t="s">
        <v>126</v>
      </c>
      <c r="C58" s="100">
        <v>200000</v>
      </c>
      <c r="D58" s="545"/>
      <c r="E58" s="105">
        <f>C58+D58</f>
        <v>200000</v>
      </c>
      <c r="F58" s="804">
        <v>800000</v>
      </c>
    </row>
    <row r="59" spans="1:6" ht="15.75">
      <c r="A59" s="12" t="s">
        <v>127</v>
      </c>
      <c r="B59" s="4" t="s">
        <v>128</v>
      </c>
      <c r="C59" s="100">
        <v>100000</v>
      </c>
      <c r="D59" s="545"/>
      <c r="E59" s="105">
        <f>C59+D59</f>
        <v>100000</v>
      </c>
      <c r="F59" s="804">
        <v>400000</v>
      </c>
    </row>
    <row r="60" spans="1:6" ht="15.75">
      <c r="A60" s="140" t="s">
        <v>170</v>
      </c>
      <c r="B60" s="6"/>
      <c r="C60" s="7">
        <f>SUM(C57:C59)</f>
        <v>800000</v>
      </c>
      <c r="D60" s="492">
        <f>SUM(D57:D59)</f>
        <v>725000</v>
      </c>
      <c r="E60" s="7">
        <f>SUM(E57:E59)</f>
        <v>1525000</v>
      </c>
      <c r="F60" s="492">
        <f>SUM(F57:F59)</f>
        <v>2200000</v>
      </c>
    </row>
    <row r="61" spans="1:6" ht="15.75">
      <c r="A61" s="12"/>
      <c r="B61" s="101" t="s">
        <v>131</v>
      </c>
      <c r="C61" s="100"/>
      <c r="D61" s="545"/>
      <c r="E61" s="105"/>
      <c r="F61" s="800"/>
    </row>
    <row r="62" spans="1:6" ht="15.75">
      <c r="A62" s="12" t="s">
        <v>129</v>
      </c>
      <c r="B62" s="4" t="s">
        <v>130</v>
      </c>
      <c r="C62" s="100">
        <v>750000</v>
      </c>
      <c r="D62" s="497"/>
      <c r="E62" s="105">
        <f>C62+D62</f>
        <v>750000</v>
      </c>
      <c r="F62" s="800">
        <v>1000000</v>
      </c>
    </row>
    <row r="63" spans="1:6" ht="15.75">
      <c r="A63" s="140" t="s">
        <v>170</v>
      </c>
      <c r="B63" s="6"/>
      <c r="C63" s="7">
        <f>SUM(C62:C62)</f>
        <v>750000</v>
      </c>
      <c r="D63" s="492">
        <f>SUM(D62:D62)</f>
        <v>0</v>
      </c>
      <c r="E63" s="7">
        <f>SUM(E62:E62)</f>
        <v>750000</v>
      </c>
      <c r="F63" s="492">
        <f>SUM(F62:F62)</f>
        <v>1000000</v>
      </c>
    </row>
    <row r="64" spans="1:6" ht="15.75">
      <c r="A64" s="12"/>
      <c r="B64" s="101" t="s">
        <v>136</v>
      </c>
      <c r="C64" s="100"/>
      <c r="D64" s="545"/>
      <c r="E64" s="105"/>
      <c r="F64" s="800"/>
    </row>
    <row r="65" spans="1:6" ht="15.75">
      <c r="A65" s="12">
        <v>3110301</v>
      </c>
      <c r="B65" s="4" t="s">
        <v>347</v>
      </c>
      <c r="C65" s="100">
        <v>0</v>
      </c>
      <c r="D65" s="497">
        <v>492625</v>
      </c>
      <c r="E65" s="105">
        <f>C65+D65</f>
        <v>492625</v>
      </c>
      <c r="F65" s="800">
        <v>1500000</v>
      </c>
    </row>
    <row r="66" spans="1:6" ht="15.75">
      <c r="A66" s="12" t="s">
        <v>137</v>
      </c>
      <c r="B66" s="4" t="s">
        <v>138</v>
      </c>
      <c r="C66" s="100">
        <v>875000</v>
      </c>
      <c r="D66" s="497">
        <v>2000000</v>
      </c>
      <c r="E66" s="105">
        <f>C66+D66</f>
        <v>2875000</v>
      </c>
      <c r="F66" s="800"/>
    </row>
    <row r="67" spans="1:6" s="504" customFormat="1" ht="15.75">
      <c r="A67" s="506">
        <v>3111001</v>
      </c>
      <c r="B67" s="505" t="s">
        <v>346</v>
      </c>
      <c r="C67" s="100"/>
      <c r="D67" s="575"/>
      <c r="E67" s="105"/>
      <c r="F67" s="800">
        <v>575000</v>
      </c>
    </row>
    <row r="68" spans="1:6" s="504" customFormat="1" ht="15.75">
      <c r="A68" s="506">
        <v>3111009</v>
      </c>
      <c r="B68" s="505" t="s">
        <v>202</v>
      </c>
      <c r="C68" s="100"/>
      <c r="D68" s="575"/>
      <c r="E68" s="105"/>
      <c r="F68" s="800">
        <v>300000</v>
      </c>
    </row>
    <row r="69" spans="1:6" s="504" customFormat="1" ht="15.75">
      <c r="A69" s="506">
        <v>3111002</v>
      </c>
      <c r="B69" s="505" t="s">
        <v>205</v>
      </c>
      <c r="C69" s="100"/>
      <c r="D69" s="575"/>
      <c r="E69" s="105"/>
      <c r="F69" s="800">
        <v>600000</v>
      </c>
    </row>
    <row r="70" spans="1:6" s="504" customFormat="1" ht="15.75">
      <c r="A70" s="85" t="s">
        <v>141</v>
      </c>
      <c r="B70" s="56" t="s">
        <v>142</v>
      </c>
      <c r="C70" s="100"/>
      <c r="D70" s="575"/>
      <c r="E70" s="105">
        <v>2600000</v>
      </c>
      <c r="F70" s="800">
        <v>1000000</v>
      </c>
    </row>
    <row r="71" spans="1:6" ht="15.75">
      <c r="A71" s="140" t="s">
        <v>170</v>
      </c>
      <c r="B71" s="6"/>
      <c r="C71" s="7">
        <f>SUM(C65:C66)</f>
        <v>875000</v>
      </c>
      <c r="D71" s="492">
        <f>SUM(D65:D66)</f>
        <v>2492625</v>
      </c>
      <c r="E71" s="7">
        <f>SUM(E65:E70)</f>
        <v>5967625</v>
      </c>
      <c r="F71" s="7">
        <f>SUM(F65:F70)</f>
        <v>3975000</v>
      </c>
    </row>
    <row r="72" spans="1:6" s="2" customFormat="1" ht="15.75">
      <c r="A72" s="12"/>
      <c r="B72" s="101" t="s">
        <v>151</v>
      </c>
      <c r="C72" s="100"/>
      <c r="D72" s="546"/>
      <c r="E72" s="420"/>
      <c r="F72" s="800"/>
    </row>
    <row r="73" spans="1:6" s="2" customFormat="1" ht="15.75">
      <c r="A73" s="12" t="s">
        <v>149</v>
      </c>
      <c r="B73" s="99" t="s">
        <v>150</v>
      </c>
      <c r="C73" s="100">
        <v>250000</v>
      </c>
      <c r="D73" s="512">
        <v>250000</v>
      </c>
      <c r="E73" s="420">
        <f>C73+D73</f>
        <v>500000</v>
      </c>
      <c r="F73" s="800">
        <v>1000000</v>
      </c>
    </row>
    <row r="74" spans="1:6" s="2" customFormat="1" ht="15.75">
      <c r="A74" s="140" t="s">
        <v>170</v>
      </c>
      <c r="B74" s="6"/>
      <c r="C74" s="7">
        <f>SUM(C73:C73)</f>
        <v>250000</v>
      </c>
      <c r="D74" s="492">
        <f>SUM(D73:D73)</f>
        <v>250000</v>
      </c>
      <c r="E74" s="7">
        <f>SUM(E73:E73)</f>
        <v>500000</v>
      </c>
      <c r="F74" s="492">
        <f>SUM(F73:F73)</f>
        <v>1000000</v>
      </c>
    </row>
    <row r="75" spans="1:6" s="2" customFormat="1" ht="15.75">
      <c r="A75" s="12"/>
      <c r="B75" s="101" t="s">
        <v>154</v>
      </c>
      <c r="C75" s="100"/>
      <c r="D75" s="546"/>
      <c r="E75" s="420"/>
      <c r="F75" s="800"/>
    </row>
    <row r="76" spans="1:6" s="2" customFormat="1" ht="15.75">
      <c r="A76" s="12" t="s">
        <v>157</v>
      </c>
      <c r="B76" s="99" t="s">
        <v>158</v>
      </c>
      <c r="C76" s="100">
        <v>1500000</v>
      </c>
      <c r="D76" s="512">
        <v>3800000</v>
      </c>
      <c r="E76" s="420">
        <f>C76+D76</f>
        <v>5300000</v>
      </c>
      <c r="F76" s="800">
        <v>1500000</v>
      </c>
    </row>
    <row r="77" spans="1:6" s="502" customFormat="1" ht="15.75">
      <c r="A77" s="506" t="s">
        <v>159</v>
      </c>
      <c r="B77" s="505" t="s">
        <v>160</v>
      </c>
      <c r="C77" s="100"/>
      <c r="D77" s="512"/>
      <c r="E77" s="420"/>
      <c r="F77" s="800">
        <v>1500000</v>
      </c>
    </row>
    <row r="78" spans="1:6" s="2" customFormat="1" ht="15.75">
      <c r="A78" s="140" t="s">
        <v>170</v>
      </c>
      <c r="B78" s="14"/>
      <c r="C78" s="7">
        <f>SUM(C76:C76)</f>
        <v>1500000</v>
      </c>
      <c r="D78" s="492">
        <f>SUM(D76:D76)</f>
        <v>3800000</v>
      </c>
      <c r="E78" s="7">
        <f>SUM(E76:E77)</f>
        <v>5300000</v>
      </c>
      <c r="F78" s="7">
        <f>SUM(F76:F77)</f>
        <v>3000000</v>
      </c>
    </row>
    <row r="79" spans="1:6" s="2" customFormat="1" ht="15.75">
      <c r="A79" s="140"/>
      <c r="B79" s="6" t="s">
        <v>802</v>
      </c>
      <c r="C79" s="7">
        <f>SUM(C78,C74,C71,C63,C60,C55,C51,C43,C37,C31,C25,C21,)</f>
        <v>12365000</v>
      </c>
      <c r="D79" s="7">
        <f>SUM(D78,D74,D71,D63,D60,D55,D51,D43,D37,D31,D25,D21,)</f>
        <v>7891925</v>
      </c>
      <c r="E79" s="7">
        <f>SUM(E78,E74,E71,E63,E60,E55,E51,E43,E37,E31,E25,E21,)</f>
        <v>22856925</v>
      </c>
      <c r="F79" s="492">
        <f>SUM(F78,F74,F71,F63,F60,F55,F51,F43,F37,F31,F25,F21,)</f>
        <v>24155000</v>
      </c>
    </row>
    <row r="80" spans="1:6" s="700" customFormat="1" ht="15.75" hidden="1">
      <c r="A80" s="179">
        <v>310000</v>
      </c>
      <c r="B80" s="64" t="s">
        <v>793</v>
      </c>
      <c r="C80" s="67"/>
      <c r="D80" s="576"/>
      <c r="E80" s="420"/>
      <c r="F80" s="800"/>
    </row>
    <row r="81" spans="1:6" s="700" customFormat="1" ht="15.75" hidden="1">
      <c r="A81" s="179"/>
      <c r="B81" s="159" t="s">
        <v>534</v>
      </c>
      <c r="C81" s="162" t="e">
        <f>'PROJECTS DETAILS'!#REF!</f>
        <v>#REF!</v>
      </c>
      <c r="D81" s="576" t="e">
        <f>'PROJECTS DETAILS'!#REF!</f>
        <v>#REF!</v>
      </c>
      <c r="E81" s="420" t="e">
        <f aca="true" t="shared" si="1" ref="E81:E90">C81+D81</f>
        <v>#REF!</v>
      </c>
      <c r="F81" s="800"/>
    </row>
    <row r="82" spans="1:6" s="700" customFormat="1" ht="15.75" hidden="1">
      <c r="A82" s="179"/>
      <c r="B82" s="161" t="s">
        <v>535</v>
      </c>
      <c r="C82" s="162" t="e">
        <f>'PROJECTS DETAILS'!#REF!</f>
        <v>#REF!</v>
      </c>
      <c r="D82" s="576" t="e">
        <f>'PROJECTS DETAILS'!#REF!</f>
        <v>#REF!</v>
      </c>
      <c r="E82" s="420" t="e">
        <f t="shared" si="1"/>
        <v>#REF!</v>
      </c>
      <c r="F82" s="800"/>
    </row>
    <row r="83" spans="1:6" s="700" customFormat="1" ht="31.5" hidden="1">
      <c r="A83" s="179"/>
      <c r="B83" s="722" t="s">
        <v>536</v>
      </c>
      <c r="C83" s="162" t="e">
        <f>'PROJECTS DETAILS'!#REF!</f>
        <v>#REF!</v>
      </c>
      <c r="D83" s="576" t="e">
        <f>'PROJECTS DETAILS'!#REF!</f>
        <v>#REF!</v>
      </c>
      <c r="E83" s="420" t="e">
        <f t="shared" si="1"/>
        <v>#REF!</v>
      </c>
      <c r="F83" s="800"/>
    </row>
    <row r="84" spans="1:6" s="700" customFormat="1" ht="15.75" hidden="1">
      <c r="A84" s="179"/>
      <c r="B84" s="722" t="s">
        <v>537</v>
      </c>
      <c r="C84" s="162" t="e">
        <f>'PROJECTS DETAILS'!#REF!</f>
        <v>#REF!</v>
      </c>
      <c r="D84" s="576" t="e">
        <f>'PROJECTS DETAILS'!#REF!</f>
        <v>#REF!</v>
      </c>
      <c r="E84" s="420" t="e">
        <f t="shared" si="1"/>
        <v>#REF!</v>
      </c>
      <c r="F84" s="800"/>
    </row>
    <row r="85" spans="1:6" s="700" customFormat="1" ht="15.75" hidden="1">
      <c r="A85" s="151">
        <v>3110599</v>
      </c>
      <c r="B85" s="161" t="s">
        <v>539</v>
      </c>
      <c r="C85" s="162" t="e">
        <f>'PROJECTS DETAILS'!#REF!</f>
        <v>#REF!</v>
      </c>
      <c r="D85" s="576" t="e">
        <f>'PROJECTS DETAILS'!#REF!</f>
        <v>#REF!</v>
      </c>
      <c r="E85" s="420" t="e">
        <f t="shared" si="1"/>
        <v>#REF!</v>
      </c>
      <c r="F85" s="800"/>
    </row>
    <row r="86" spans="1:6" s="700" customFormat="1" ht="15.75" hidden="1">
      <c r="A86" s="723">
        <v>3111301</v>
      </c>
      <c r="B86" s="161" t="s">
        <v>541</v>
      </c>
      <c r="C86" s="162" t="e">
        <f>'PROJECTS DETAILS'!#REF!</f>
        <v>#REF!</v>
      </c>
      <c r="D86" s="576" t="e">
        <f>'PROJECTS DETAILS'!#REF!</f>
        <v>#REF!</v>
      </c>
      <c r="E86" s="420" t="e">
        <f t="shared" si="1"/>
        <v>#REF!</v>
      </c>
      <c r="F86" s="800"/>
    </row>
    <row r="87" spans="1:6" s="700" customFormat="1" ht="15.75" hidden="1">
      <c r="A87" s="151">
        <v>3110599</v>
      </c>
      <c r="B87" s="161" t="s">
        <v>542</v>
      </c>
      <c r="C87" s="162" t="e">
        <f>'PROJECTS DETAILS'!#REF!</f>
        <v>#REF!</v>
      </c>
      <c r="D87" s="576">
        <v>-1000000</v>
      </c>
      <c r="E87" s="420" t="e">
        <f t="shared" si="1"/>
        <v>#REF!</v>
      </c>
      <c r="F87" s="800"/>
    </row>
    <row r="88" spans="1:6" s="700" customFormat="1" ht="15.75" hidden="1">
      <c r="A88" s="151"/>
      <c r="B88" s="161" t="str">
        <f>'PROJECTS DETAILS'!B68</f>
        <v>Supply of engineering equipment</v>
      </c>
      <c r="C88" s="162"/>
      <c r="D88" s="576" t="e">
        <f>'PROJECTS DETAILS'!#REF!</f>
        <v>#REF!</v>
      </c>
      <c r="E88" s="420" t="e">
        <f t="shared" si="1"/>
        <v>#REF!</v>
      </c>
      <c r="F88" s="800"/>
    </row>
    <row r="89" spans="1:6" s="700" customFormat="1" ht="15.75" hidden="1">
      <c r="A89" s="151">
        <v>3110504</v>
      </c>
      <c r="B89" s="43" t="s">
        <v>543</v>
      </c>
      <c r="C89" s="162" t="e">
        <f>'PROJECTS DETAILS'!#REF!</f>
        <v>#REF!</v>
      </c>
      <c r="D89" s="576" t="e">
        <f>'PROJECTS DETAILS'!#REF!</f>
        <v>#REF!</v>
      </c>
      <c r="E89" s="420" t="e">
        <f t="shared" si="1"/>
        <v>#REF!</v>
      </c>
      <c r="F89" s="800"/>
    </row>
    <row r="90" spans="1:6" s="700" customFormat="1" ht="15.75" hidden="1">
      <c r="A90" s="151">
        <v>3110599</v>
      </c>
      <c r="B90" s="717" t="s">
        <v>549</v>
      </c>
      <c r="C90" s="162" t="e">
        <f>'PROJECTS DETAILS'!#REF!</f>
        <v>#REF!</v>
      </c>
      <c r="D90" s="576" t="e">
        <f>'PROJECTS DETAILS'!#REF!</f>
        <v>#REF!</v>
      </c>
      <c r="E90" s="420" t="e">
        <f t="shared" si="1"/>
        <v>#REF!</v>
      </c>
      <c r="F90" s="800"/>
    </row>
    <row r="91" spans="1:6" s="2" customFormat="1" ht="31.5">
      <c r="A91" s="291"/>
      <c r="B91" s="300" t="s">
        <v>803</v>
      </c>
      <c r="C91" s="294" t="e">
        <f>SUM(C81:C90)</f>
        <v>#REF!</v>
      </c>
      <c r="D91" s="532" t="e">
        <f>SUM(D81:D90)</f>
        <v>#REF!</v>
      </c>
      <c r="E91" s="294"/>
      <c r="F91" s="532"/>
    </row>
    <row r="92" spans="1:6" s="2" customFormat="1" ht="15.75">
      <c r="A92" s="179">
        <v>10806</v>
      </c>
      <c r="B92" s="64" t="s">
        <v>721</v>
      </c>
      <c r="C92" s="67"/>
      <c r="D92" s="546"/>
      <c r="E92" s="420"/>
      <c r="F92" s="800"/>
    </row>
    <row r="93" spans="1:6" ht="15.75">
      <c r="A93" s="179"/>
      <c r="B93" s="66" t="s">
        <v>207</v>
      </c>
      <c r="C93" s="67"/>
      <c r="D93" s="545"/>
      <c r="E93" s="105"/>
      <c r="F93" s="800"/>
    </row>
    <row r="94" spans="1:6" ht="15.75">
      <c r="A94" s="85">
        <v>2210301</v>
      </c>
      <c r="B94" s="56" t="s">
        <v>208</v>
      </c>
      <c r="C94" s="57">
        <v>200000</v>
      </c>
      <c r="D94" s="545"/>
      <c r="E94" s="105">
        <f>C94+D94</f>
        <v>200000</v>
      </c>
      <c r="F94" s="57">
        <v>1500000</v>
      </c>
    </row>
    <row r="95" spans="1:6" ht="15.75">
      <c r="A95" s="85">
        <v>2210302</v>
      </c>
      <c r="B95" s="56" t="s">
        <v>380</v>
      </c>
      <c r="C95" s="57">
        <v>500000</v>
      </c>
      <c r="D95" s="545"/>
      <c r="E95" s="105">
        <f>C95+D95</f>
        <v>500000</v>
      </c>
      <c r="F95" s="57">
        <v>800000</v>
      </c>
    </row>
    <row r="96" spans="1:6" ht="15.75">
      <c r="A96" s="85">
        <v>2210303</v>
      </c>
      <c r="B96" s="56" t="s">
        <v>39</v>
      </c>
      <c r="C96" s="57">
        <v>750000</v>
      </c>
      <c r="D96" s="545"/>
      <c r="E96" s="105">
        <f>C96+D96</f>
        <v>750000</v>
      </c>
      <c r="F96" s="57"/>
    </row>
    <row r="97" spans="1:6" s="403" customFormat="1" ht="15.75">
      <c r="A97" s="12"/>
      <c r="B97" s="122" t="s">
        <v>1007</v>
      </c>
      <c r="C97" s="87"/>
      <c r="D97" s="571">
        <v>698000</v>
      </c>
      <c r="E97" s="105">
        <f>C97+D97</f>
        <v>698000</v>
      </c>
      <c r="F97" s="800"/>
    </row>
    <row r="98" spans="1:6" s="504" customFormat="1" ht="15.75">
      <c r="A98" s="85">
        <v>2211101</v>
      </c>
      <c r="B98" s="56" t="s">
        <v>123</v>
      </c>
      <c r="C98" s="87"/>
      <c r="D98" s="571"/>
      <c r="E98" s="105">
        <v>300000</v>
      </c>
      <c r="F98" s="57">
        <v>300000</v>
      </c>
    </row>
    <row r="99" spans="1:6" s="504" customFormat="1" ht="15.75">
      <c r="A99" s="506" t="s">
        <v>106</v>
      </c>
      <c r="B99" s="505" t="s">
        <v>107</v>
      </c>
      <c r="C99" s="87"/>
      <c r="D99" s="571"/>
      <c r="E99" s="105">
        <v>3000000</v>
      </c>
      <c r="F99" s="57">
        <v>3000000</v>
      </c>
    </row>
    <row r="100" spans="1:6" s="504" customFormat="1" ht="15.75">
      <c r="A100" s="506" t="s">
        <v>1096</v>
      </c>
      <c r="B100" s="505" t="s">
        <v>1097</v>
      </c>
      <c r="C100" s="87"/>
      <c r="D100" s="571"/>
      <c r="E100" s="105"/>
      <c r="F100" s="57">
        <v>500000</v>
      </c>
    </row>
    <row r="101" spans="1:6" s="504" customFormat="1" ht="15.75">
      <c r="A101" s="506" t="s">
        <v>1098</v>
      </c>
      <c r="B101" s="505" t="s">
        <v>1099</v>
      </c>
      <c r="C101" s="87"/>
      <c r="D101" s="571"/>
      <c r="E101" s="105"/>
      <c r="F101" s="57">
        <v>500000</v>
      </c>
    </row>
    <row r="102" spans="1:6" s="504" customFormat="1" ht="15.75">
      <c r="A102" s="85">
        <v>2211201</v>
      </c>
      <c r="B102" s="56" t="s">
        <v>130</v>
      </c>
      <c r="C102" s="87"/>
      <c r="D102" s="571"/>
      <c r="E102" s="105"/>
      <c r="F102" s="57">
        <v>300000</v>
      </c>
    </row>
    <row r="103" spans="1:6" s="504" customFormat="1" ht="15.75">
      <c r="A103" s="506" t="s">
        <v>149</v>
      </c>
      <c r="B103" s="56" t="s">
        <v>1094</v>
      </c>
      <c r="C103" s="87"/>
      <c r="D103" s="571"/>
      <c r="E103" s="105"/>
      <c r="F103" s="57">
        <v>300000</v>
      </c>
    </row>
    <row r="104" spans="1:6" s="504" customFormat="1" ht="15.75">
      <c r="A104" s="141">
        <v>2211103</v>
      </c>
      <c r="B104" s="122" t="s">
        <v>128</v>
      </c>
      <c r="C104" s="87"/>
      <c r="D104" s="571"/>
      <c r="E104" s="105"/>
      <c r="F104" s="57">
        <v>500000</v>
      </c>
    </row>
    <row r="105" spans="1:6" ht="15.75">
      <c r="A105" s="140"/>
      <c r="B105" s="6" t="s">
        <v>804</v>
      </c>
      <c r="C105" s="7">
        <f>SUM(C94:C97)</f>
        <v>1450000</v>
      </c>
      <c r="D105" s="492">
        <f>SUM(D94:D97)</f>
        <v>698000</v>
      </c>
      <c r="E105" s="7">
        <f>SUM(E94:E104)</f>
        <v>5448000</v>
      </c>
      <c r="F105" s="7">
        <f>SUM(F94:F104)</f>
        <v>7700000</v>
      </c>
    </row>
    <row r="106" spans="1:6" s="700" customFormat="1" ht="15.75" hidden="1">
      <c r="A106" s="179">
        <v>310000</v>
      </c>
      <c r="B106" s="64" t="s">
        <v>793</v>
      </c>
      <c r="C106" s="67"/>
      <c r="D106" s="576"/>
      <c r="E106" s="420"/>
      <c r="F106" s="800"/>
    </row>
    <row r="107" spans="1:6" s="700" customFormat="1" ht="15.75" hidden="1">
      <c r="A107" s="151">
        <v>3110502</v>
      </c>
      <c r="B107" s="161" t="s">
        <v>545</v>
      </c>
      <c r="C107" s="162" t="e">
        <f>'PROJECTS DETAILS'!#REF!</f>
        <v>#REF!</v>
      </c>
      <c r="D107" s="576">
        <v>1000000</v>
      </c>
      <c r="E107" s="420" t="e">
        <f>C107+D107</f>
        <v>#REF!</v>
      </c>
      <c r="F107" s="800"/>
    </row>
    <row r="108" spans="1:6" s="700" customFormat="1" ht="15.75" hidden="1">
      <c r="A108" s="151"/>
      <c r="B108" s="43" t="s">
        <v>1031</v>
      </c>
      <c r="C108" s="162"/>
      <c r="D108" s="576" t="e">
        <f>'PROJECTS DETAILS'!#REF!</f>
        <v>#REF!</v>
      </c>
      <c r="E108" s="420" t="e">
        <f>C108+D108</f>
        <v>#REF!</v>
      </c>
      <c r="F108" s="800"/>
    </row>
    <row r="109" spans="1:6" s="700" customFormat="1" ht="15.75" hidden="1">
      <c r="A109" s="151">
        <v>3110599</v>
      </c>
      <c r="B109" s="43" t="s">
        <v>546</v>
      </c>
      <c r="C109" s="162" t="e">
        <f>'PROJECTS DETAILS'!#REF!</f>
        <v>#REF!</v>
      </c>
      <c r="D109" s="576" t="e">
        <f>'PROJECTS DETAILS'!#REF!</f>
        <v>#REF!</v>
      </c>
      <c r="E109" s="420" t="e">
        <f>C109+D109</f>
        <v>#REF!</v>
      </c>
      <c r="F109" s="800"/>
    </row>
    <row r="110" spans="1:6" s="2" customFormat="1" ht="15.75" hidden="1">
      <c r="A110" s="151">
        <v>3110599</v>
      </c>
      <c r="B110" s="43" t="s">
        <v>547</v>
      </c>
      <c r="C110" s="162" t="e">
        <f>'PROJECTS DETAILS'!#REF!</f>
        <v>#REF!</v>
      </c>
      <c r="D110" s="546" t="e">
        <f>'PROJECTS DETAILS'!#REF!</f>
        <v>#REF!</v>
      </c>
      <c r="E110" s="420" t="e">
        <f>C110+D110</f>
        <v>#REF!</v>
      </c>
      <c r="F110" s="800"/>
    </row>
    <row r="111" spans="1:6" s="2" customFormat="1" ht="15.75" hidden="1">
      <c r="A111" s="140"/>
      <c r="B111" s="292" t="s">
        <v>805</v>
      </c>
      <c r="C111" s="293" t="e">
        <f>SUM(C107:C110)</f>
        <v>#REF!</v>
      </c>
      <c r="D111" s="494" t="e">
        <f>SUM(D107:D110)</f>
        <v>#REF!</v>
      </c>
      <c r="E111" s="293"/>
      <c r="F111" s="494"/>
    </row>
    <row r="112" spans="1:6" s="2" customFormat="1" ht="15.75" hidden="1">
      <c r="A112" s="291"/>
      <c r="B112" s="292" t="s">
        <v>806</v>
      </c>
      <c r="C112" s="293" t="e">
        <f>SUM(C111,C105)</f>
        <v>#REF!</v>
      </c>
      <c r="D112" s="494" t="e">
        <f>SUM(D111,D105)</f>
        <v>#REF!</v>
      </c>
      <c r="E112" s="293">
        <f>SUM(E111,E105)</f>
        <v>5448000</v>
      </c>
      <c r="F112" s="494">
        <f>SUM(F111,F105)</f>
        <v>7700000</v>
      </c>
    </row>
    <row r="113" spans="1:6" s="2" customFormat="1" ht="15.75">
      <c r="A113" s="179">
        <v>10807</v>
      </c>
      <c r="B113" s="64" t="s">
        <v>722</v>
      </c>
      <c r="C113" s="67"/>
      <c r="D113" s="546"/>
      <c r="E113" s="420"/>
      <c r="F113" s="800"/>
    </row>
    <row r="114" spans="1:6" s="98" customFormat="1" ht="15.75">
      <c r="A114" s="12" t="s">
        <v>38</v>
      </c>
      <c r="B114" s="99" t="s">
        <v>39</v>
      </c>
      <c r="C114" s="100">
        <v>750000</v>
      </c>
      <c r="D114" s="545"/>
      <c r="E114" s="105">
        <f>C114+D114</f>
        <v>750000</v>
      </c>
      <c r="F114" s="57">
        <v>750000</v>
      </c>
    </row>
    <row r="115" spans="1:6" s="2" customFormat="1" ht="15.75">
      <c r="A115" s="12" t="s">
        <v>36</v>
      </c>
      <c r="B115" s="99" t="s">
        <v>37</v>
      </c>
      <c r="C115" s="57">
        <v>1500000</v>
      </c>
      <c r="D115" s="546"/>
      <c r="E115" s="105">
        <f>C115+D115</f>
        <v>1500000</v>
      </c>
      <c r="F115" s="57">
        <v>1500000</v>
      </c>
    </row>
    <row r="116" spans="1:6" s="502" customFormat="1" ht="15.75">
      <c r="A116" s="506"/>
      <c r="B116" s="56" t="s">
        <v>379</v>
      </c>
      <c r="C116" s="57"/>
      <c r="D116" s="576"/>
      <c r="E116" s="105"/>
      <c r="F116" s="57">
        <v>200000</v>
      </c>
    </row>
    <row r="117" spans="1:6" s="502" customFormat="1" ht="15.75">
      <c r="A117" s="506"/>
      <c r="B117" s="56" t="s">
        <v>123</v>
      </c>
      <c r="C117" s="57"/>
      <c r="D117" s="576"/>
      <c r="E117" s="105"/>
      <c r="F117" s="57">
        <v>400000</v>
      </c>
    </row>
    <row r="118" spans="1:6" s="502" customFormat="1" ht="15.75">
      <c r="A118" s="506"/>
      <c r="B118" s="56" t="s">
        <v>111</v>
      </c>
      <c r="C118" s="57"/>
      <c r="D118" s="576"/>
      <c r="E118" s="105"/>
      <c r="F118" s="57">
        <v>0</v>
      </c>
    </row>
    <row r="119" spans="1:6" s="502" customFormat="1" ht="15.75">
      <c r="A119" s="506">
        <v>3111002</v>
      </c>
      <c r="B119" s="505" t="s">
        <v>205</v>
      </c>
      <c r="C119" s="57"/>
      <c r="D119" s="576"/>
      <c r="E119" s="105"/>
      <c r="F119" s="57">
        <v>300000</v>
      </c>
    </row>
    <row r="120" spans="1:6" s="502" customFormat="1" ht="15.75">
      <c r="A120" s="506"/>
      <c r="B120" s="56" t="s">
        <v>130</v>
      </c>
      <c r="C120" s="57"/>
      <c r="D120" s="576"/>
      <c r="E120" s="105"/>
      <c r="F120" s="57">
        <v>200000</v>
      </c>
    </row>
    <row r="121" spans="1:6" s="502" customFormat="1" ht="15.75">
      <c r="A121" s="506"/>
      <c r="B121" s="56" t="s">
        <v>1094</v>
      </c>
      <c r="C121" s="57"/>
      <c r="D121" s="576"/>
      <c r="E121" s="105"/>
      <c r="F121" s="57">
        <v>200000</v>
      </c>
    </row>
    <row r="122" spans="1:6" s="502" customFormat="1" ht="15.75">
      <c r="A122" s="141">
        <v>2211103</v>
      </c>
      <c r="B122" s="122" t="s">
        <v>128</v>
      </c>
      <c r="C122" s="57"/>
      <c r="D122" s="576"/>
      <c r="E122" s="105"/>
      <c r="F122" s="57">
        <v>500000</v>
      </c>
    </row>
    <row r="123" spans="1:6" s="502" customFormat="1" ht="31.5">
      <c r="A123" s="401" t="s">
        <v>57</v>
      </c>
      <c r="B123" s="578" t="s">
        <v>1100</v>
      </c>
      <c r="C123" s="57"/>
      <c r="D123" s="576"/>
      <c r="E123" s="105"/>
      <c r="F123" s="57">
        <v>500000</v>
      </c>
    </row>
    <row r="124" spans="1:6" s="2" customFormat="1" ht="15.75">
      <c r="A124" s="140"/>
      <c r="B124" s="6" t="s">
        <v>724</v>
      </c>
      <c r="C124" s="7">
        <f>SUM(C114:C115)</f>
        <v>2250000</v>
      </c>
      <c r="D124" s="492">
        <f>SUM(D114:D115)</f>
        <v>0</v>
      </c>
      <c r="E124" s="7">
        <f>SUM(E114:E123)</f>
        <v>2250000</v>
      </c>
      <c r="F124" s="7">
        <f>SUM(F114:F123)</f>
        <v>4550000</v>
      </c>
    </row>
    <row r="125" spans="1:6" ht="15.75">
      <c r="A125" s="140"/>
      <c r="B125" s="140" t="s">
        <v>171</v>
      </c>
      <c r="C125" s="7">
        <f>SUM(C124,C105,C79)</f>
        <v>16065000</v>
      </c>
      <c r="D125" s="492">
        <f>SUM(D124,D105,D79)</f>
        <v>8589925</v>
      </c>
      <c r="E125" s="7">
        <f>SUM(E124,E105,E79,)</f>
        <v>30554925</v>
      </c>
      <c r="F125" s="7">
        <f>SUM(F124,F105,F79,)</f>
        <v>36405000</v>
      </c>
    </row>
    <row r="126" spans="1:6" ht="15.75">
      <c r="A126" s="140"/>
      <c r="B126" s="140" t="s">
        <v>784</v>
      </c>
      <c r="C126" s="7">
        <f>C125</f>
        <v>16065000</v>
      </c>
      <c r="D126" s="492">
        <f>D125</f>
        <v>8589925</v>
      </c>
      <c r="E126" s="7">
        <f>E125+E16</f>
        <v>301678141</v>
      </c>
      <c r="F126" s="7">
        <f>F125+F16</f>
        <v>313306256</v>
      </c>
    </row>
    <row r="127" spans="1:6" ht="15.75">
      <c r="A127" s="296"/>
      <c r="B127" s="6" t="s">
        <v>787</v>
      </c>
      <c r="C127" s="303" t="e">
        <f>SUM(C111,C91)</f>
        <v>#REF!</v>
      </c>
      <c r="D127" s="547" t="e">
        <f>SUM(D111,D91)</f>
        <v>#REF!</v>
      </c>
      <c r="E127" s="303"/>
      <c r="F127" s="547"/>
    </row>
    <row r="128" spans="1:6" ht="15.75">
      <c r="A128" s="296"/>
      <c r="B128" s="6" t="s">
        <v>790</v>
      </c>
      <c r="C128" s="303" t="e">
        <f>SUM(C126:C127)</f>
        <v>#REF!</v>
      </c>
      <c r="D128" s="547" t="e">
        <f>SUM(D126:D127)</f>
        <v>#REF!</v>
      </c>
      <c r="E128" s="303">
        <f>SUM(E126:E127)</f>
        <v>301678141</v>
      </c>
      <c r="F128" s="547">
        <f>SUM(F126:F127)</f>
        <v>313306256</v>
      </c>
    </row>
    <row r="129" ht="15">
      <c r="E129" s="9">
        <f>E128+'LIVESTOCK &amp; VET'!E143</f>
        <v>409364327</v>
      </c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80" r:id="rId1"/>
  <rowBreaks count="1" manualBreakCount="1">
    <brk id="54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145"/>
  <sheetViews>
    <sheetView view="pageBreakPreview" zoomScale="130" zoomScaleSheetLayoutView="130" zoomScalePageLayoutView="0" workbookViewId="0" topLeftCell="A1">
      <pane ySplit="2" topLeftCell="A18" activePane="bottomLeft" state="frozen"/>
      <selection pane="topLeft" activeCell="E12" sqref="E12"/>
      <selection pane="bottomLeft" activeCell="A130" sqref="A130:IV139"/>
    </sheetView>
  </sheetViews>
  <sheetFormatPr defaultColWidth="9.140625" defaultRowHeight="15"/>
  <cols>
    <col min="1" max="1" width="11.8515625" style="181" customWidth="1"/>
    <col min="2" max="2" width="69.421875" style="0" customWidth="1"/>
    <col min="3" max="3" width="19.00390625" style="9" hidden="1" customWidth="1"/>
    <col min="4" max="4" width="18.28125" style="537" hidden="1" customWidth="1"/>
    <col min="5" max="5" width="18.140625" style="9" customWidth="1"/>
    <col min="6" max="6" width="22.00390625" style="0" customWidth="1"/>
  </cols>
  <sheetData>
    <row r="1" spans="1:3" ht="15.75">
      <c r="A1" s="921" t="s">
        <v>183</v>
      </c>
      <c r="B1" s="922"/>
      <c r="C1" s="929"/>
    </row>
    <row r="2" spans="1:6" ht="59.25" customHeight="1">
      <c r="A2" s="917" t="s">
        <v>168</v>
      </c>
      <c r="B2" s="918"/>
      <c r="C2" s="109" t="s">
        <v>996</v>
      </c>
      <c r="D2" s="548" t="s">
        <v>995</v>
      </c>
      <c r="E2" s="109" t="s">
        <v>997</v>
      </c>
      <c r="F2" s="393" t="s">
        <v>1068</v>
      </c>
    </row>
    <row r="3" spans="1:6" s="98" customFormat="1" ht="15.75">
      <c r="A3" s="200">
        <v>10801</v>
      </c>
      <c r="B3" s="200" t="s">
        <v>680</v>
      </c>
      <c r="C3" s="109"/>
      <c r="D3" s="539"/>
      <c r="E3" s="105"/>
      <c r="F3" s="417"/>
    </row>
    <row r="4" spans="1:6" s="2" customFormat="1" ht="15.75">
      <c r="A4" s="202">
        <v>2200000</v>
      </c>
      <c r="B4" s="64" t="s">
        <v>679</v>
      </c>
      <c r="C4" s="550"/>
      <c r="D4" s="538"/>
      <c r="E4" s="420"/>
      <c r="F4" s="417"/>
    </row>
    <row r="5" spans="1:6" ht="15.75">
      <c r="A5" s="12"/>
      <c r="B5" s="101" t="s">
        <v>21</v>
      </c>
      <c r="C5" s="100"/>
      <c r="D5" s="539"/>
      <c r="E5" s="105"/>
      <c r="F5" s="417"/>
    </row>
    <row r="6" spans="1:6" ht="15.75">
      <c r="A6" s="12" t="s">
        <v>19</v>
      </c>
      <c r="B6" s="4" t="s">
        <v>20</v>
      </c>
      <c r="C6" s="100">
        <v>200000</v>
      </c>
      <c r="D6" s="539"/>
      <c r="E6" s="105">
        <f>C6+D6</f>
        <v>200000</v>
      </c>
      <c r="F6" s="57">
        <v>200000</v>
      </c>
    </row>
    <row r="7" spans="1:6" ht="15.75">
      <c r="A7" s="12" t="s">
        <v>22</v>
      </c>
      <c r="B7" s="4" t="s">
        <v>23</v>
      </c>
      <c r="C7" s="100">
        <v>150000</v>
      </c>
      <c r="D7" s="539"/>
      <c r="E7" s="105">
        <f>C7+D7</f>
        <v>150000</v>
      </c>
      <c r="F7" s="57">
        <v>200000</v>
      </c>
    </row>
    <row r="8" spans="1:6" ht="15.75">
      <c r="A8" s="140" t="s">
        <v>170</v>
      </c>
      <c r="B8" s="6"/>
      <c r="C8" s="549">
        <f>SUM(C6:C7)</f>
        <v>350000</v>
      </c>
      <c r="D8" s="549">
        <f>SUM(D6:D7)</f>
        <v>0</v>
      </c>
      <c r="E8" s="549">
        <f>SUM(E6:E7)</f>
        <v>350000</v>
      </c>
      <c r="F8" s="549">
        <f>SUM(F6:F7)</f>
        <v>400000</v>
      </c>
    </row>
    <row r="9" spans="1:6" ht="15.75">
      <c r="A9" s="12"/>
      <c r="B9" s="101" t="s">
        <v>28</v>
      </c>
      <c r="C9" s="100"/>
      <c r="D9" s="539"/>
      <c r="E9" s="105"/>
      <c r="F9" s="417"/>
    </row>
    <row r="10" spans="1:6" ht="15.75">
      <c r="A10" s="12" t="s">
        <v>26</v>
      </c>
      <c r="B10" s="4" t="s">
        <v>27</v>
      </c>
      <c r="C10" s="100">
        <v>140000</v>
      </c>
      <c r="D10" s="539"/>
      <c r="E10" s="105">
        <f>C10+D10</f>
        <v>140000</v>
      </c>
      <c r="F10" s="57">
        <v>100000</v>
      </c>
    </row>
    <row r="11" spans="1:6" ht="15.75">
      <c r="A11" s="12" t="s">
        <v>31</v>
      </c>
      <c r="B11" s="4" t="s">
        <v>32</v>
      </c>
      <c r="C11" s="100">
        <v>50000</v>
      </c>
      <c r="D11" s="539"/>
      <c r="E11" s="105">
        <f>C11+D11</f>
        <v>50000</v>
      </c>
      <c r="F11" s="57">
        <v>50000</v>
      </c>
    </row>
    <row r="12" spans="1:6" ht="15.75">
      <c r="A12" s="140" t="s">
        <v>170</v>
      </c>
      <c r="B12" s="6"/>
      <c r="C12" s="549">
        <f>SUM(C10:C11)</f>
        <v>190000</v>
      </c>
      <c r="D12" s="549">
        <f>SUM(D10:D11)</f>
        <v>0</v>
      </c>
      <c r="E12" s="549">
        <f>SUM(E10:E11)</f>
        <v>190000</v>
      </c>
      <c r="F12" s="549">
        <f>SUM(F10:F11)</f>
        <v>150000</v>
      </c>
    </row>
    <row r="13" spans="1:6" ht="15.75">
      <c r="A13" s="12"/>
      <c r="B13" s="101" t="s">
        <v>35</v>
      </c>
      <c r="C13" s="100"/>
      <c r="D13" s="539"/>
      <c r="E13" s="105"/>
      <c r="F13" s="417"/>
    </row>
    <row r="14" spans="1:6" ht="15.75">
      <c r="A14" s="12" t="s">
        <v>33</v>
      </c>
      <c r="B14" s="4" t="s">
        <v>34</v>
      </c>
      <c r="C14" s="100">
        <v>250000</v>
      </c>
      <c r="D14" s="539"/>
      <c r="E14" s="105">
        <f>C14+D14</f>
        <v>250000</v>
      </c>
      <c r="F14" s="57">
        <v>250000</v>
      </c>
    </row>
    <row r="15" spans="1:6" ht="15.75">
      <c r="A15" s="85" t="s">
        <v>36</v>
      </c>
      <c r="B15" s="56" t="s">
        <v>37</v>
      </c>
      <c r="C15" s="57">
        <v>1000000</v>
      </c>
      <c r="D15" s="538">
        <f>-200000+200000</f>
        <v>0</v>
      </c>
      <c r="E15" s="420">
        <f>C15+D15</f>
        <v>1000000</v>
      </c>
      <c r="F15" s="57">
        <v>1000000</v>
      </c>
    </row>
    <row r="16" spans="1:6" ht="15.75">
      <c r="A16" s="12" t="s">
        <v>38</v>
      </c>
      <c r="B16" s="4" t="s">
        <v>39</v>
      </c>
      <c r="C16" s="100">
        <v>1000000</v>
      </c>
      <c r="D16" s="539">
        <v>-200000</v>
      </c>
      <c r="E16" s="105">
        <f>C16+D16</f>
        <v>800000</v>
      </c>
      <c r="F16" s="57">
        <v>1000000</v>
      </c>
    </row>
    <row r="17" spans="1:6" ht="15.75">
      <c r="A17" s="12" t="s">
        <v>40</v>
      </c>
      <c r="B17" s="4" t="s">
        <v>41</v>
      </c>
      <c r="C17" s="100">
        <v>50000</v>
      </c>
      <c r="D17" s="539"/>
      <c r="E17" s="105">
        <f>C17+D17</f>
        <v>50000</v>
      </c>
      <c r="F17" s="57">
        <v>100000</v>
      </c>
    </row>
    <row r="18" spans="1:6" ht="15.75">
      <c r="A18" s="140" t="s">
        <v>170</v>
      </c>
      <c r="B18" s="6"/>
      <c r="C18" s="549">
        <f>SUM(C14:C17)</f>
        <v>2300000</v>
      </c>
      <c r="D18" s="549">
        <f>SUM(D14:D17)</f>
        <v>-200000</v>
      </c>
      <c r="E18" s="549">
        <f>SUM(E14:E17)</f>
        <v>2100000</v>
      </c>
      <c r="F18" s="549">
        <f>SUM(F14:F17)</f>
        <v>2350000</v>
      </c>
    </row>
    <row r="19" spans="1:6" ht="15.75">
      <c r="A19" s="12"/>
      <c r="B19" s="101" t="s">
        <v>44</v>
      </c>
      <c r="C19" s="100"/>
      <c r="D19" s="539"/>
      <c r="E19" s="105"/>
      <c r="F19" s="417"/>
    </row>
    <row r="20" spans="1:6" ht="15.75">
      <c r="A20" s="12" t="s">
        <v>42</v>
      </c>
      <c r="B20" s="4" t="s">
        <v>43</v>
      </c>
      <c r="C20" s="100">
        <v>100000</v>
      </c>
      <c r="D20" s="539"/>
      <c r="E20" s="105">
        <f>C20+D20</f>
        <v>100000</v>
      </c>
      <c r="F20" s="57">
        <v>100000</v>
      </c>
    </row>
    <row r="21" spans="1:6" ht="15.75">
      <c r="A21" s="12" t="s">
        <v>45</v>
      </c>
      <c r="B21" s="4" t="s">
        <v>46</v>
      </c>
      <c r="C21" s="100">
        <v>300000</v>
      </c>
      <c r="D21" s="539"/>
      <c r="E21" s="105">
        <f>C21+D21</f>
        <v>300000</v>
      </c>
      <c r="F21" s="57">
        <v>300000</v>
      </c>
    </row>
    <row r="22" spans="1:6" ht="15.75">
      <c r="A22" s="85" t="s">
        <v>47</v>
      </c>
      <c r="B22" s="56" t="s">
        <v>39</v>
      </c>
      <c r="C22" s="57">
        <v>300000</v>
      </c>
      <c r="D22" s="720">
        <v>-200000</v>
      </c>
      <c r="E22" s="432">
        <f>C22+D22</f>
        <v>100000</v>
      </c>
      <c r="F22" s="57">
        <v>750000</v>
      </c>
    </row>
    <row r="23" spans="1:6" ht="15.75">
      <c r="A23" s="12" t="s">
        <v>48</v>
      </c>
      <c r="B23" s="4" t="s">
        <v>49</v>
      </c>
      <c r="C23" s="100">
        <v>50000</v>
      </c>
      <c r="D23" s="539"/>
      <c r="E23" s="105">
        <f>C23+D23</f>
        <v>50000</v>
      </c>
      <c r="F23" s="57">
        <v>50000</v>
      </c>
    </row>
    <row r="24" spans="1:6" ht="15.75">
      <c r="A24" s="140" t="s">
        <v>170</v>
      </c>
      <c r="B24" s="6"/>
      <c r="C24" s="549">
        <f>SUM(C20:C23)</f>
        <v>750000</v>
      </c>
      <c r="D24" s="549">
        <f>SUM(D20:D23)</f>
        <v>-200000</v>
      </c>
      <c r="E24" s="549">
        <f>SUM(E20:E23)</f>
        <v>550000</v>
      </c>
      <c r="F24" s="549">
        <f>SUM(F20:F23)</f>
        <v>1200000</v>
      </c>
    </row>
    <row r="25" spans="1:6" ht="15.75">
      <c r="A25" s="12"/>
      <c r="B25" s="101" t="s">
        <v>50</v>
      </c>
      <c r="C25" s="100"/>
      <c r="D25" s="539"/>
      <c r="E25" s="105"/>
      <c r="F25" s="417"/>
    </row>
    <row r="26" spans="1:6" ht="15.75">
      <c r="A26" s="12" t="s">
        <v>51</v>
      </c>
      <c r="B26" s="4" t="s">
        <v>52</v>
      </c>
      <c r="C26" s="100">
        <v>550000</v>
      </c>
      <c r="D26" s="539">
        <v>2000000</v>
      </c>
      <c r="E26" s="105">
        <f>C26+D26</f>
        <v>2550000</v>
      </c>
      <c r="F26" s="57">
        <v>300000</v>
      </c>
    </row>
    <row r="27" spans="1:6" ht="15.75">
      <c r="A27" s="12" t="s">
        <v>53</v>
      </c>
      <c r="B27" s="4" t="s">
        <v>54</v>
      </c>
      <c r="C27" s="100">
        <v>50000</v>
      </c>
      <c r="D27" s="539"/>
      <c r="E27" s="105">
        <f>C27+D27</f>
        <v>50000</v>
      </c>
      <c r="F27" s="57">
        <v>30000</v>
      </c>
    </row>
    <row r="28" spans="1:6" ht="15.75">
      <c r="A28" s="12" t="s">
        <v>55</v>
      </c>
      <c r="B28" s="4" t="s">
        <v>56</v>
      </c>
      <c r="C28" s="100">
        <v>7000000</v>
      </c>
      <c r="D28" s="539"/>
      <c r="E28" s="105">
        <f>C28+D28</f>
        <v>7000000</v>
      </c>
      <c r="F28" s="57">
        <v>200000</v>
      </c>
    </row>
    <row r="29" spans="1:6" s="106" customFormat="1" ht="15.75">
      <c r="A29" s="85" t="s">
        <v>57</v>
      </c>
      <c r="B29" s="56" t="s">
        <v>1030</v>
      </c>
      <c r="C29" s="57">
        <v>2500000</v>
      </c>
      <c r="D29" s="538">
        <v>2500000</v>
      </c>
      <c r="E29" s="105">
        <f>C29+D29</f>
        <v>5000000</v>
      </c>
      <c r="F29" s="57">
        <v>2500000</v>
      </c>
    </row>
    <row r="30" spans="1:6" ht="15.75">
      <c r="A30" s="140" t="s">
        <v>170</v>
      </c>
      <c r="B30" s="6"/>
      <c r="C30" s="549">
        <f>SUM(C26:C29)</f>
        <v>10100000</v>
      </c>
      <c r="D30" s="549">
        <f>SUM(D26:D29)</f>
        <v>4500000</v>
      </c>
      <c r="E30" s="549">
        <f>SUM(E26:E29)</f>
        <v>14600000</v>
      </c>
      <c r="F30" s="549">
        <f>SUM(F26:F29)</f>
        <v>3030000</v>
      </c>
    </row>
    <row r="31" spans="1:6" ht="15.75">
      <c r="A31" s="12"/>
      <c r="B31" s="101" t="s">
        <v>68</v>
      </c>
      <c r="C31" s="100"/>
      <c r="D31" s="539"/>
      <c r="E31" s="105"/>
      <c r="F31" s="417"/>
    </row>
    <row r="32" spans="1:6" ht="15.75">
      <c r="A32" s="12" t="s">
        <v>66</v>
      </c>
      <c r="B32" s="4" t="s">
        <v>67</v>
      </c>
      <c r="C32" s="100">
        <v>250000</v>
      </c>
      <c r="D32" s="539"/>
      <c r="E32" s="105">
        <f>C32+D32</f>
        <v>250000</v>
      </c>
      <c r="F32" s="57">
        <v>300000</v>
      </c>
    </row>
    <row r="33" spans="1:6" ht="15.75">
      <c r="A33" s="12" t="s">
        <v>75</v>
      </c>
      <c r="B33" s="4" t="s">
        <v>76</v>
      </c>
      <c r="C33" s="100">
        <v>400000</v>
      </c>
      <c r="D33" s="539"/>
      <c r="E33" s="105">
        <f>C33+D33</f>
        <v>400000</v>
      </c>
      <c r="F33" s="57">
        <v>400000</v>
      </c>
    </row>
    <row r="34" spans="1:6" s="504" customFormat="1" ht="15.75">
      <c r="A34" s="506" t="s">
        <v>71</v>
      </c>
      <c r="B34" s="505" t="s">
        <v>72</v>
      </c>
      <c r="C34" s="100"/>
      <c r="D34" s="539"/>
      <c r="E34" s="105"/>
      <c r="F34" s="57">
        <v>50000</v>
      </c>
    </row>
    <row r="35" spans="1:6" s="504" customFormat="1" ht="15.75">
      <c r="A35" s="506" t="s">
        <v>73</v>
      </c>
      <c r="B35" s="505" t="s">
        <v>74</v>
      </c>
      <c r="C35" s="100"/>
      <c r="D35" s="539"/>
      <c r="E35" s="105"/>
      <c r="F35" s="57">
        <v>100000</v>
      </c>
    </row>
    <row r="36" spans="1:6" s="504" customFormat="1" ht="15.75">
      <c r="A36" s="505" t="s">
        <v>80</v>
      </c>
      <c r="B36" s="505" t="s">
        <v>81</v>
      </c>
      <c r="C36" s="100"/>
      <c r="D36" s="539">
        <v>4325000</v>
      </c>
      <c r="E36" s="105">
        <f>C36+D36</f>
        <v>4325000</v>
      </c>
      <c r="F36" s="57"/>
    </row>
    <row r="37" spans="1:6" ht="15.75">
      <c r="A37" s="12" t="s">
        <v>77</v>
      </c>
      <c r="B37" s="4" t="s">
        <v>78</v>
      </c>
      <c r="C37" s="100">
        <v>400000</v>
      </c>
      <c r="D37" s="539"/>
      <c r="E37" s="105">
        <f>C37+D37</f>
        <v>400000</v>
      </c>
      <c r="F37" s="845">
        <v>500000</v>
      </c>
    </row>
    <row r="38" spans="1:6" ht="15.75">
      <c r="A38" s="140" t="s">
        <v>170</v>
      </c>
      <c r="B38" s="6"/>
      <c r="C38" s="549">
        <f>SUM(C32:C37)</f>
        <v>1050000</v>
      </c>
      <c r="D38" s="549">
        <f>SUM(D32:D37)</f>
        <v>4325000</v>
      </c>
      <c r="E38" s="549">
        <f>SUM(E32:E37)</f>
        <v>5375000</v>
      </c>
      <c r="F38" s="549">
        <f>SUM(F32:F37)</f>
        <v>1350000</v>
      </c>
    </row>
    <row r="39" spans="1:6" ht="15.75">
      <c r="A39" s="12"/>
      <c r="B39" s="101" t="s">
        <v>84</v>
      </c>
      <c r="C39" s="100"/>
      <c r="D39" s="539"/>
      <c r="E39" s="105"/>
      <c r="F39" s="417"/>
    </row>
    <row r="40" spans="1:6" ht="15.75">
      <c r="A40" s="12" t="s">
        <v>82</v>
      </c>
      <c r="B40" s="4" t="s">
        <v>83</v>
      </c>
      <c r="C40" s="100">
        <v>500000</v>
      </c>
      <c r="D40" s="539"/>
      <c r="E40" s="105">
        <f>C40+D40</f>
        <v>500000</v>
      </c>
      <c r="F40" s="57">
        <v>400000</v>
      </c>
    </row>
    <row r="41" spans="1:6" ht="15.75">
      <c r="A41" s="12" t="s">
        <v>85</v>
      </c>
      <c r="B41" s="4" t="s">
        <v>86</v>
      </c>
      <c r="C41" s="100">
        <v>7000000</v>
      </c>
      <c r="D41" s="539"/>
      <c r="E41" s="105">
        <f>C41+D41</f>
        <v>7000000</v>
      </c>
      <c r="F41" s="57">
        <v>3000000</v>
      </c>
    </row>
    <row r="42" spans="1:6" ht="15.75">
      <c r="A42" s="140" t="s">
        <v>170</v>
      </c>
      <c r="B42" s="6"/>
      <c r="C42" s="549">
        <f>SUM(C40:C41)</f>
        <v>7500000</v>
      </c>
      <c r="D42" s="549">
        <f>SUM(D40:D41)</f>
        <v>0</v>
      </c>
      <c r="E42" s="549">
        <f>SUM(E40:E41)</f>
        <v>7500000</v>
      </c>
      <c r="F42" s="549">
        <f>SUM(F40:F41)</f>
        <v>3400000</v>
      </c>
    </row>
    <row r="43" spans="1:6" ht="15.75">
      <c r="A43" s="12"/>
      <c r="B43" s="101" t="s">
        <v>101</v>
      </c>
      <c r="C43" s="100"/>
      <c r="D43" s="539"/>
      <c r="E43" s="105"/>
      <c r="F43" s="417"/>
    </row>
    <row r="44" spans="1:6" ht="15.75">
      <c r="A44" s="12" t="s">
        <v>104</v>
      </c>
      <c r="B44" s="4" t="s">
        <v>105</v>
      </c>
      <c r="C44" s="100">
        <v>54206</v>
      </c>
      <c r="D44" s="539"/>
      <c r="E44" s="105">
        <f aca="true" t="shared" si="0" ref="E44:E49">C44+D44</f>
        <v>54206</v>
      </c>
      <c r="F44" s="57">
        <v>500000</v>
      </c>
    </row>
    <row r="45" spans="1:6" ht="15.75">
      <c r="A45" s="12" t="s">
        <v>110</v>
      </c>
      <c r="B45" s="4" t="s">
        <v>111</v>
      </c>
      <c r="C45" s="100">
        <v>750000</v>
      </c>
      <c r="D45" s="539"/>
      <c r="E45" s="105">
        <f t="shared" si="0"/>
        <v>750000</v>
      </c>
      <c r="F45" s="57">
        <v>750000</v>
      </c>
    </row>
    <row r="46" spans="1:6" ht="15.75">
      <c r="A46" s="12" t="s">
        <v>114</v>
      </c>
      <c r="B46" s="4" t="s">
        <v>115</v>
      </c>
      <c r="C46" s="100">
        <v>500000</v>
      </c>
      <c r="D46" s="539">
        <v>1500000</v>
      </c>
      <c r="E46" s="105">
        <f t="shared" si="0"/>
        <v>2000000</v>
      </c>
      <c r="F46" s="57">
        <v>500000</v>
      </c>
    </row>
    <row r="47" spans="1:6" ht="15.75">
      <c r="A47" s="12" t="s">
        <v>116</v>
      </c>
      <c r="B47" s="4" t="s">
        <v>117</v>
      </c>
      <c r="C47" s="100">
        <v>1000000</v>
      </c>
      <c r="D47" s="539"/>
      <c r="E47" s="105">
        <f t="shared" si="0"/>
        <v>1000000</v>
      </c>
      <c r="F47" s="57">
        <v>750000</v>
      </c>
    </row>
    <row r="48" spans="1:6" s="2" customFormat="1" ht="15.75">
      <c r="A48" s="85" t="s">
        <v>120</v>
      </c>
      <c r="B48" s="56" t="s">
        <v>121</v>
      </c>
      <c r="C48" s="57">
        <v>750000</v>
      </c>
      <c r="D48" s="538"/>
      <c r="E48" s="105">
        <f t="shared" si="0"/>
        <v>750000</v>
      </c>
      <c r="F48" s="57">
        <v>10000000</v>
      </c>
    </row>
    <row r="49" spans="1:6" s="2" customFormat="1" ht="15.75">
      <c r="A49" s="99" t="s">
        <v>108</v>
      </c>
      <c r="B49" s="99" t="s">
        <v>109</v>
      </c>
      <c r="C49" s="57">
        <v>3000000</v>
      </c>
      <c r="D49" s="538"/>
      <c r="E49" s="105">
        <f t="shared" si="0"/>
        <v>3000000</v>
      </c>
      <c r="F49" s="57">
        <v>10000000</v>
      </c>
    </row>
    <row r="50" spans="1:6" ht="15.75">
      <c r="A50" s="140" t="s">
        <v>170</v>
      </c>
      <c r="B50" s="6"/>
      <c r="C50" s="549">
        <f>SUM(C44:C49)</f>
        <v>6054206</v>
      </c>
      <c r="D50" s="549">
        <f>SUM(D44:D49)</f>
        <v>1500000</v>
      </c>
      <c r="E50" s="549">
        <f>SUM(E44:E49)</f>
        <v>7554206</v>
      </c>
      <c r="F50" s="549">
        <f>SUM(F44:F49)</f>
        <v>22500000</v>
      </c>
    </row>
    <row r="51" spans="1:6" ht="15.75">
      <c r="A51" s="12"/>
      <c r="B51" s="101" t="s">
        <v>124</v>
      </c>
      <c r="C51" s="100"/>
      <c r="D51" s="539"/>
      <c r="E51" s="105"/>
      <c r="F51" s="417"/>
    </row>
    <row r="52" spans="1:6" ht="15.75">
      <c r="A52" s="12">
        <v>2211101</v>
      </c>
      <c r="B52" s="4" t="s">
        <v>123</v>
      </c>
      <c r="C52" s="100">
        <v>500000</v>
      </c>
      <c r="D52" s="539"/>
      <c r="E52" s="105">
        <f>C52+D52</f>
        <v>500000</v>
      </c>
      <c r="F52" s="57">
        <v>1500000</v>
      </c>
    </row>
    <row r="53" spans="1:6" ht="15.75">
      <c r="A53" s="12" t="s">
        <v>125</v>
      </c>
      <c r="B53" s="4" t="s">
        <v>126</v>
      </c>
      <c r="C53" s="100">
        <v>250000</v>
      </c>
      <c r="D53" s="539"/>
      <c r="E53" s="105">
        <f>C53+D53</f>
        <v>250000</v>
      </c>
      <c r="F53" s="57">
        <v>800000</v>
      </c>
    </row>
    <row r="54" spans="1:6" ht="15.75">
      <c r="A54" s="12" t="s">
        <v>127</v>
      </c>
      <c r="B54" s="4" t="s">
        <v>128</v>
      </c>
      <c r="C54" s="100">
        <v>100000</v>
      </c>
      <c r="D54" s="539"/>
      <c r="E54" s="105">
        <f>C54+D54</f>
        <v>100000</v>
      </c>
      <c r="F54" s="57">
        <v>400000</v>
      </c>
    </row>
    <row r="55" spans="1:6" ht="15.75">
      <c r="A55" s="140" t="s">
        <v>170</v>
      </c>
      <c r="B55" s="6"/>
      <c r="C55" s="549">
        <f>SUM(C52:C54)</f>
        <v>850000</v>
      </c>
      <c r="D55" s="549">
        <f>SUM(D52:D54)</f>
        <v>0</v>
      </c>
      <c r="E55" s="549">
        <f>SUM(E52:E54)</f>
        <v>850000</v>
      </c>
      <c r="F55" s="549">
        <f>SUM(F52:F54)</f>
        <v>2700000</v>
      </c>
    </row>
    <row r="56" spans="1:6" ht="15.75">
      <c r="A56" s="12"/>
      <c r="B56" s="101" t="s">
        <v>131</v>
      </c>
      <c r="C56" s="100"/>
      <c r="D56" s="539"/>
      <c r="E56" s="105"/>
      <c r="F56" s="417"/>
    </row>
    <row r="57" spans="1:6" ht="15.75">
      <c r="A57" s="12" t="s">
        <v>129</v>
      </c>
      <c r="B57" s="4" t="s">
        <v>130</v>
      </c>
      <c r="C57" s="100">
        <v>700000</v>
      </c>
      <c r="D57" s="539"/>
      <c r="E57" s="105">
        <f>C57+D57</f>
        <v>700000</v>
      </c>
      <c r="F57" s="57">
        <v>1500000</v>
      </c>
    </row>
    <row r="58" spans="1:6" ht="15.75">
      <c r="A58" s="140" t="s">
        <v>170</v>
      </c>
      <c r="B58" s="6"/>
      <c r="C58" s="549">
        <f>SUM(C57:C57)</f>
        <v>700000</v>
      </c>
      <c r="D58" s="549">
        <f>SUM(D57:D57)</f>
        <v>0</v>
      </c>
      <c r="E58" s="549">
        <f>SUM(E57:E57)</f>
        <v>700000</v>
      </c>
      <c r="F58" s="549">
        <f>SUM(F57:F57)</f>
        <v>1500000</v>
      </c>
    </row>
    <row r="59" spans="1:6" ht="15.75">
      <c r="A59" s="12"/>
      <c r="B59" s="101" t="s">
        <v>136</v>
      </c>
      <c r="C59" s="100"/>
      <c r="D59" s="539"/>
      <c r="E59" s="105"/>
      <c r="F59" s="417"/>
    </row>
    <row r="60" spans="1:6" ht="15.75">
      <c r="A60" s="12">
        <v>3111001</v>
      </c>
      <c r="B60" s="4" t="s">
        <v>200</v>
      </c>
      <c r="C60" s="100">
        <v>0</v>
      </c>
      <c r="D60" s="539">
        <v>2690000</v>
      </c>
      <c r="E60" s="105">
        <f>C60+D60</f>
        <v>2690000</v>
      </c>
      <c r="F60" s="800">
        <v>575000</v>
      </c>
    </row>
    <row r="61" spans="1:6" s="98" customFormat="1" ht="15.75">
      <c r="A61" s="398">
        <v>3110704</v>
      </c>
      <c r="B61" s="62" t="s">
        <v>966</v>
      </c>
      <c r="C61" s="100">
        <v>1000000</v>
      </c>
      <c r="D61" s="539"/>
      <c r="E61" s="105">
        <f>C61+D61</f>
        <v>1000000</v>
      </c>
      <c r="F61" s="417"/>
    </row>
    <row r="62" spans="1:6" s="504" customFormat="1" ht="15.75">
      <c r="A62" s="506">
        <v>3111009</v>
      </c>
      <c r="B62" s="505" t="s">
        <v>202</v>
      </c>
      <c r="C62" s="100"/>
      <c r="D62" s="539"/>
      <c r="E62" s="105"/>
      <c r="F62" s="57">
        <v>300000</v>
      </c>
    </row>
    <row r="63" spans="1:6" s="93" customFormat="1" ht="15.75">
      <c r="A63" s="506">
        <v>3111002</v>
      </c>
      <c r="B63" s="505" t="s">
        <v>205</v>
      </c>
      <c r="C63" s="100">
        <v>250000</v>
      </c>
      <c r="D63" s="539">
        <v>1726980</v>
      </c>
      <c r="E63" s="541">
        <f>C63+D63</f>
        <v>1976980</v>
      </c>
      <c r="F63" s="57">
        <v>200000</v>
      </c>
    </row>
    <row r="64" spans="1:6" s="93" customFormat="1" ht="15.75">
      <c r="A64" s="506">
        <v>2211305</v>
      </c>
      <c r="B64" s="505" t="s">
        <v>138</v>
      </c>
      <c r="C64" s="100"/>
      <c r="D64" s="539"/>
      <c r="E64" s="541"/>
      <c r="F64" s="57">
        <v>900000</v>
      </c>
    </row>
    <row r="65" spans="1:6" s="93" customFormat="1" ht="15.75">
      <c r="A65" s="85">
        <v>3110302</v>
      </c>
      <c r="B65" s="56" t="s">
        <v>206</v>
      </c>
      <c r="C65" s="100"/>
      <c r="D65" s="539"/>
      <c r="E65" s="541"/>
      <c r="F65" s="57">
        <v>2000000</v>
      </c>
    </row>
    <row r="66" spans="1:6" s="93" customFormat="1" ht="15.75">
      <c r="A66" s="85" t="s">
        <v>141</v>
      </c>
      <c r="B66" s="56" t="s">
        <v>142</v>
      </c>
      <c r="C66" s="100"/>
      <c r="D66" s="539"/>
      <c r="E66" s="541"/>
      <c r="F66" s="57"/>
    </row>
    <row r="67" spans="1:6" s="93" customFormat="1" ht="15.75">
      <c r="A67" s="506" t="s">
        <v>143</v>
      </c>
      <c r="B67" s="505" t="s">
        <v>144</v>
      </c>
      <c r="C67" s="100"/>
      <c r="D67" s="539"/>
      <c r="E67" s="541"/>
      <c r="F67" s="57">
        <v>2500000</v>
      </c>
    </row>
    <row r="68" spans="1:6" ht="15.75">
      <c r="A68" s="140" t="s">
        <v>170</v>
      </c>
      <c r="B68" s="6"/>
      <c r="C68" s="549">
        <f>SUM(C60:C63)</f>
        <v>1250000</v>
      </c>
      <c r="D68" s="549">
        <f>SUM(D60:D63)</f>
        <v>4416980</v>
      </c>
      <c r="E68" s="549">
        <f>SUM(E60:E63)</f>
        <v>5666980</v>
      </c>
      <c r="F68" s="549">
        <f>SUM(F60:F67)</f>
        <v>6475000</v>
      </c>
    </row>
    <row r="69" spans="1:6" s="98" customFormat="1" ht="15.75">
      <c r="A69" s="12"/>
      <c r="B69" s="101" t="s">
        <v>151</v>
      </c>
      <c r="C69" s="100"/>
      <c r="D69" s="539"/>
      <c r="E69" s="105"/>
      <c r="F69" s="417"/>
    </row>
    <row r="70" spans="1:6" s="98" customFormat="1" ht="15.75">
      <c r="A70" s="12" t="s">
        <v>149</v>
      </c>
      <c r="B70" s="99" t="s">
        <v>150</v>
      </c>
      <c r="C70" s="100">
        <v>500000</v>
      </c>
      <c r="D70" s="539"/>
      <c r="E70" s="105">
        <f>C70+D70</f>
        <v>500000</v>
      </c>
      <c r="F70" s="800">
        <v>500000</v>
      </c>
    </row>
    <row r="71" spans="1:6" s="98" customFormat="1" ht="15.75">
      <c r="A71" s="140" t="s">
        <v>170</v>
      </c>
      <c r="B71" s="6"/>
      <c r="C71" s="549">
        <f>SUM(C70:C70)</f>
        <v>500000</v>
      </c>
      <c r="D71" s="549">
        <f>SUM(D70:D70)</f>
        <v>0</v>
      </c>
      <c r="E71" s="549">
        <f>SUM(E70:E70)</f>
        <v>500000</v>
      </c>
      <c r="F71" s="549">
        <f>SUM(F70:F70)</f>
        <v>500000</v>
      </c>
    </row>
    <row r="72" spans="1:6" s="98" customFormat="1" ht="15.75">
      <c r="A72" s="12"/>
      <c r="B72" s="101" t="s">
        <v>154</v>
      </c>
      <c r="C72" s="100"/>
      <c r="D72" s="539"/>
      <c r="E72" s="105"/>
      <c r="F72" s="417"/>
    </row>
    <row r="73" spans="1:6" s="98" customFormat="1" ht="15.75">
      <c r="A73" s="12" t="s">
        <v>157</v>
      </c>
      <c r="B73" s="99" t="s">
        <v>158</v>
      </c>
      <c r="C73" s="100">
        <v>1500000</v>
      </c>
      <c r="D73" s="539">
        <v>4000000</v>
      </c>
      <c r="E73" s="105">
        <f>C73+D73</f>
        <v>5500000</v>
      </c>
      <c r="F73" s="57">
        <v>1500000</v>
      </c>
    </row>
    <row r="74" spans="1:6" s="504" customFormat="1" ht="15.75">
      <c r="A74" s="506" t="s">
        <v>159</v>
      </c>
      <c r="B74" s="505" t="s">
        <v>160</v>
      </c>
      <c r="C74" s="100"/>
      <c r="D74" s="539"/>
      <c r="E74" s="105"/>
      <c r="F74" s="57">
        <v>1500000</v>
      </c>
    </row>
    <row r="75" spans="1:6" s="98" customFormat="1" ht="15.75">
      <c r="A75" s="140" t="s">
        <v>170</v>
      </c>
      <c r="B75" s="6"/>
      <c r="C75" s="549">
        <f>SUM(C73:C73)</f>
        <v>1500000</v>
      </c>
      <c r="D75" s="549">
        <f>SUM(D73:D73)</f>
        <v>4000000</v>
      </c>
      <c r="E75" s="549">
        <f>SUM(E73:E74)</f>
        <v>5500000</v>
      </c>
      <c r="F75" s="549">
        <f>SUM(F73:F74)</f>
        <v>3000000</v>
      </c>
    </row>
    <row r="76" spans="1:6" s="98" customFormat="1" ht="15.75">
      <c r="A76" s="140"/>
      <c r="B76" s="6" t="s">
        <v>768</v>
      </c>
      <c r="C76" s="549">
        <f>SUM(C75,C71,C68,C58,C55,C50,C42,C38,C30,C24,C18,C12,C8)</f>
        <v>33094206</v>
      </c>
      <c r="D76" s="549">
        <f>SUM(D75,D71,D68,D58,D55,D50,D42,D38,D30,D24,D18,D12,D8)</f>
        <v>18341980</v>
      </c>
      <c r="E76" s="549">
        <f>SUM(E75,E71,E68,E58,E55,E50,E42,E38,E30,E24,E18,E12,E8)</f>
        <v>51436186</v>
      </c>
      <c r="F76" s="549">
        <f>SUM(F75,F71,F68,F58,F55,F50,F42,F38,F30,F24,F18,F12,F8)</f>
        <v>48555000</v>
      </c>
    </row>
    <row r="77" spans="1:6" s="98" customFormat="1" ht="31.5">
      <c r="A77" s="140"/>
      <c r="B77" s="301" t="s">
        <v>771</v>
      </c>
      <c r="C77" s="551" t="e">
        <f>SUM(C76,#REF!)</f>
        <v>#REF!</v>
      </c>
      <c r="D77" s="551" t="e">
        <f>SUM(D76,#REF!)</f>
        <v>#REF!</v>
      </c>
      <c r="E77" s="551">
        <f>SUM(E76)</f>
        <v>51436186</v>
      </c>
      <c r="F77" s="551">
        <f>SUM(F76)</f>
        <v>48555000</v>
      </c>
    </row>
    <row r="78" spans="1:6" s="700" customFormat="1" ht="15.75" hidden="1">
      <c r="A78" s="179">
        <v>310000</v>
      </c>
      <c r="B78" s="64" t="s">
        <v>763</v>
      </c>
      <c r="C78" s="550"/>
      <c r="D78" s="538"/>
      <c r="E78" s="420"/>
      <c r="F78" s="417"/>
    </row>
    <row r="79" spans="1:6" s="700" customFormat="1" ht="15.75" hidden="1">
      <c r="A79" s="85">
        <v>2630203</v>
      </c>
      <c r="B79" s="717" t="s">
        <v>554</v>
      </c>
      <c r="C79" s="162" t="e">
        <f>'PROJECTS DETAILS'!#REF!</f>
        <v>#REF!</v>
      </c>
      <c r="D79" s="538" t="e">
        <f>'PROJECTS DETAILS'!#REF!</f>
        <v>#REF!</v>
      </c>
      <c r="E79" s="420" t="e">
        <f>C79+D79</f>
        <v>#REF!</v>
      </c>
      <c r="F79" s="417"/>
    </row>
    <row r="80" spans="1:6" s="700" customFormat="1" ht="31.5" hidden="1">
      <c r="A80" s="85">
        <v>2640503</v>
      </c>
      <c r="B80" s="717" t="s">
        <v>555</v>
      </c>
      <c r="C80" s="162" t="e">
        <f>'PROJECTS DETAILS'!#REF!</f>
        <v>#REF!</v>
      </c>
      <c r="D80" s="538" t="e">
        <f>'PROJECTS DETAILS'!#REF!</f>
        <v>#REF!</v>
      </c>
      <c r="E80" s="420" t="e">
        <f>C80+D80</f>
        <v>#REF!</v>
      </c>
      <c r="F80" s="417"/>
    </row>
    <row r="81" spans="1:6" s="2" customFormat="1" ht="31.5" hidden="1">
      <c r="A81" s="140"/>
      <c r="B81" s="300" t="s">
        <v>795</v>
      </c>
      <c r="C81" s="552" t="e">
        <f>SUM(C79:C80)</f>
        <v>#REF!</v>
      </c>
      <c r="D81" s="552" t="e">
        <f>SUM(D79:D80)</f>
        <v>#REF!</v>
      </c>
      <c r="E81" s="552"/>
      <c r="F81" s="552"/>
    </row>
    <row r="82" spans="1:6" s="2" customFormat="1" ht="31.5" hidden="1">
      <c r="A82" s="140"/>
      <c r="B82" s="302" t="s">
        <v>772</v>
      </c>
      <c r="C82" s="552" t="e">
        <f>SUM(C77,C81)</f>
        <v>#REF!</v>
      </c>
      <c r="D82" s="552" t="e">
        <f>SUM(D77,D81)</f>
        <v>#REF!</v>
      </c>
      <c r="E82" s="552">
        <f>SUM(E77,E81)</f>
        <v>51436186</v>
      </c>
      <c r="F82" s="552">
        <f>SUM(F77,F81)</f>
        <v>48555000</v>
      </c>
    </row>
    <row r="83" spans="1:6" s="2" customFormat="1" ht="15.75">
      <c r="A83" s="179">
        <v>10802</v>
      </c>
      <c r="B83" s="64" t="s">
        <v>719</v>
      </c>
      <c r="C83" s="550"/>
      <c r="D83" s="538"/>
      <c r="E83" s="420"/>
      <c r="F83" s="417"/>
    </row>
    <row r="84" spans="1:6" s="2" customFormat="1" ht="15.75">
      <c r="A84" s="179"/>
      <c r="B84" s="66" t="s">
        <v>101</v>
      </c>
      <c r="C84" s="550"/>
      <c r="D84" s="538"/>
      <c r="E84" s="420"/>
      <c r="F84" s="417"/>
    </row>
    <row r="85" spans="1:6" s="106" customFormat="1" ht="15.75">
      <c r="A85" s="85" t="s">
        <v>102</v>
      </c>
      <c r="B85" s="56" t="s">
        <v>103</v>
      </c>
      <c r="C85" s="553">
        <v>10000000</v>
      </c>
      <c r="D85" s="538">
        <v>10000000</v>
      </c>
      <c r="E85" s="420">
        <f>C85+D85</f>
        <v>20000000</v>
      </c>
      <c r="F85" s="553">
        <v>11000000</v>
      </c>
    </row>
    <row r="86" spans="1:6" s="106" customFormat="1" ht="15.75">
      <c r="A86" s="85" t="s">
        <v>118</v>
      </c>
      <c r="B86" s="56" t="s">
        <v>119</v>
      </c>
      <c r="C86" s="553">
        <v>9000000</v>
      </c>
      <c r="D86" s="538">
        <v>5000000</v>
      </c>
      <c r="E86" s="420">
        <f>C86+D86</f>
        <v>14000000</v>
      </c>
      <c r="F86" s="553">
        <v>20000000</v>
      </c>
    </row>
    <row r="87" spans="1:6" s="106" customFormat="1" ht="15.75">
      <c r="A87" s="85"/>
      <c r="B87" s="66" t="s">
        <v>136</v>
      </c>
      <c r="C87" s="553"/>
      <c r="D87" s="538"/>
      <c r="E87" s="420"/>
      <c r="F87" s="417"/>
    </row>
    <row r="88" spans="1:6" s="106" customFormat="1" ht="15.75">
      <c r="A88" s="85">
        <v>3110302</v>
      </c>
      <c r="B88" s="56" t="s">
        <v>206</v>
      </c>
      <c r="C88" s="553">
        <v>4000000</v>
      </c>
      <c r="D88" s="538"/>
      <c r="E88" s="420">
        <f>C88+D88</f>
        <v>4000000</v>
      </c>
      <c r="F88" s="801">
        <v>2000000</v>
      </c>
    </row>
    <row r="89" spans="1:6" s="106" customFormat="1" ht="15.75">
      <c r="A89" s="85" t="s">
        <v>141</v>
      </c>
      <c r="B89" s="56" t="s">
        <v>142</v>
      </c>
      <c r="C89" s="553">
        <v>5000000</v>
      </c>
      <c r="D89" s="538"/>
      <c r="E89" s="420">
        <f>C89+D89</f>
        <v>5000000</v>
      </c>
      <c r="F89" s="801">
        <v>3000000</v>
      </c>
    </row>
    <row r="90" spans="1:6" s="186" customFormat="1" ht="15.75">
      <c r="A90" s="85" t="s">
        <v>143</v>
      </c>
      <c r="B90" s="56" t="s">
        <v>144</v>
      </c>
      <c r="C90" s="553">
        <v>5000000</v>
      </c>
      <c r="D90" s="538">
        <v>5000000</v>
      </c>
      <c r="E90" s="432">
        <f>C90+D90</f>
        <v>10000000</v>
      </c>
      <c r="F90" s="800">
        <v>2000000</v>
      </c>
    </row>
    <row r="91" spans="1:6" s="186" customFormat="1" ht="15.75">
      <c r="A91" s="85" t="s">
        <v>57</v>
      </c>
      <c r="B91" s="56" t="s">
        <v>58</v>
      </c>
      <c r="C91" s="553"/>
      <c r="D91" s="720"/>
      <c r="E91" s="719"/>
      <c r="F91" s="800">
        <v>2000000</v>
      </c>
    </row>
    <row r="92" spans="1:6" s="186" customFormat="1" ht="15.75">
      <c r="A92" s="141" t="s">
        <v>127</v>
      </c>
      <c r="B92" s="122" t="s">
        <v>128</v>
      </c>
      <c r="C92" s="553"/>
      <c r="D92" s="720"/>
      <c r="E92" s="719"/>
      <c r="F92" s="800">
        <v>500000</v>
      </c>
    </row>
    <row r="93" spans="1:6" s="2" customFormat="1" ht="15.75">
      <c r="A93" s="140"/>
      <c r="B93" s="6" t="s">
        <v>938</v>
      </c>
      <c r="C93" s="554">
        <f>SUM(C85:C90)</f>
        <v>33000000</v>
      </c>
      <c r="D93" s="554">
        <f>SUM(D85:D90)</f>
        <v>20000000</v>
      </c>
      <c r="E93" s="554">
        <f>SUM(E85:E92)</f>
        <v>53000000</v>
      </c>
      <c r="F93" s="554">
        <f>SUM(F85:F92)</f>
        <v>40500000</v>
      </c>
    </row>
    <row r="94" spans="1:6" s="2" customFormat="1" ht="15.75" hidden="1">
      <c r="A94" s="179">
        <v>310000</v>
      </c>
      <c r="B94" s="64" t="s">
        <v>763</v>
      </c>
      <c r="C94" s="555"/>
      <c r="D94" s="538"/>
      <c r="E94" s="420"/>
      <c r="F94" s="417"/>
    </row>
    <row r="95" spans="1:6" s="700" customFormat="1" ht="15.75" hidden="1">
      <c r="A95" s="718"/>
      <c r="B95" s="578" t="s">
        <v>566</v>
      </c>
      <c r="C95" s="713" t="e">
        <f>'PROJECTS DETAILS'!#REF!</f>
        <v>#REF!</v>
      </c>
      <c r="D95" s="538" t="e">
        <f>'PROJECTS DETAILS'!#REF!</f>
        <v>#REF!</v>
      </c>
      <c r="E95" s="719" t="e">
        <f aca="true" t="shared" si="1" ref="E95:E100">C95+D95</f>
        <v>#REF!</v>
      </c>
      <c r="F95" s="417"/>
    </row>
    <row r="96" spans="1:6" s="700" customFormat="1" ht="15.75" hidden="1">
      <c r="A96" s="718"/>
      <c r="B96" s="616" t="s">
        <v>567</v>
      </c>
      <c r="C96" s="713" t="e">
        <f>'PROJECTS DETAILS'!#REF!</f>
        <v>#REF!</v>
      </c>
      <c r="D96" s="538" t="e">
        <f>'PROJECTS DETAILS'!#REF!</f>
        <v>#REF!</v>
      </c>
      <c r="E96" s="719" t="e">
        <f t="shared" si="1"/>
        <v>#REF!</v>
      </c>
      <c r="F96" s="417"/>
    </row>
    <row r="97" spans="1:6" s="700" customFormat="1" ht="15.75" hidden="1">
      <c r="A97" s="718"/>
      <c r="B97" s="616" t="s">
        <v>939</v>
      </c>
      <c r="C97" s="651">
        <v>2000000</v>
      </c>
      <c r="D97" s="538" t="e">
        <f>'PROJECTS DETAILS'!#REF!</f>
        <v>#REF!</v>
      </c>
      <c r="E97" s="719" t="e">
        <f t="shared" si="1"/>
        <v>#REF!</v>
      </c>
      <c r="F97" s="417"/>
    </row>
    <row r="98" spans="1:6" s="700" customFormat="1" ht="15.75" hidden="1">
      <c r="A98" s="718">
        <v>3110604</v>
      </c>
      <c r="B98" s="616" t="s">
        <v>568</v>
      </c>
      <c r="C98" s="713" t="e">
        <f>'PROJECTS DETAILS'!#REF!</f>
        <v>#REF!</v>
      </c>
      <c r="D98" s="538" t="e">
        <f>'PROJECTS DETAILS'!#REF!</f>
        <v>#REF!</v>
      </c>
      <c r="E98" s="719" t="e">
        <f t="shared" si="1"/>
        <v>#REF!</v>
      </c>
      <c r="F98" s="417"/>
    </row>
    <row r="99" spans="1:6" s="700" customFormat="1" ht="15.75" hidden="1">
      <c r="A99" s="718"/>
      <c r="B99" s="616" t="s">
        <v>570</v>
      </c>
      <c r="C99" s="713" t="e">
        <f>'PROJECTS DETAILS'!#REF!</f>
        <v>#REF!</v>
      </c>
      <c r="D99" s="538" t="e">
        <f>'PROJECTS DETAILS'!#REF!</f>
        <v>#REF!</v>
      </c>
      <c r="E99" s="719" t="e">
        <f t="shared" si="1"/>
        <v>#REF!</v>
      </c>
      <c r="F99" s="417"/>
    </row>
    <row r="100" spans="1:6" s="700" customFormat="1" ht="15.75" hidden="1">
      <c r="A100" s="718"/>
      <c r="B100" s="616" t="s">
        <v>571</v>
      </c>
      <c r="C100" s="713" t="e">
        <f>'PROJECTS DETAILS'!#REF!</f>
        <v>#REF!</v>
      </c>
      <c r="D100" s="538" t="e">
        <f>'PROJECTS DETAILS'!#REF!</f>
        <v>#REF!</v>
      </c>
      <c r="E100" s="719" t="e">
        <f t="shared" si="1"/>
        <v>#REF!</v>
      </c>
      <c r="F100" s="417"/>
    </row>
    <row r="101" spans="1:6" s="2" customFormat="1" ht="15.75" hidden="1">
      <c r="A101" s="140"/>
      <c r="B101" s="6" t="s">
        <v>796</v>
      </c>
      <c r="C101" s="556" t="e">
        <f>SUM(C95:C100)</f>
        <v>#REF!</v>
      </c>
      <c r="D101" s="556" t="e">
        <f>SUM(D95:D100)</f>
        <v>#REF!</v>
      </c>
      <c r="E101" s="556"/>
      <c r="F101" s="556"/>
    </row>
    <row r="102" spans="1:6" s="2" customFormat="1" ht="15.75" hidden="1">
      <c r="A102" s="291"/>
      <c r="B102" s="292" t="s">
        <v>797</v>
      </c>
      <c r="C102" s="556" t="e">
        <f>SUM(C101,C93)</f>
        <v>#REF!</v>
      </c>
      <c r="D102" s="556" t="e">
        <f>SUM(D101,D93)</f>
        <v>#REF!</v>
      </c>
      <c r="E102" s="556">
        <f>SUM(E101,E93)</f>
        <v>53000000</v>
      </c>
      <c r="F102" s="556">
        <f>SUM(F101,F93)</f>
        <v>40500000</v>
      </c>
    </row>
    <row r="103" spans="1:6" s="2" customFormat="1" ht="15.75">
      <c r="A103" s="179">
        <v>10803</v>
      </c>
      <c r="B103" s="64" t="s">
        <v>720</v>
      </c>
      <c r="C103" s="550"/>
      <c r="D103" s="538"/>
      <c r="E103" s="420"/>
      <c r="F103" s="417"/>
    </row>
    <row r="104" spans="1:6" ht="15.75">
      <c r="A104" s="179"/>
      <c r="B104" s="101" t="s">
        <v>207</v>
      </c>
      <c r="C104" s="67"/>
      <c r="D104" s="539"/>
      <c r="E104" s="105"/>
      <c r="F104" s="417"/>
    </row>
    <row r="105" spans="1:6" ht="15.75">
      <c r="A105" s="85">
        <v>2210301</v>
      </c>
      <c r="B105" s="56" t="s">
        <v>379</v>
      </c>
      <c r="C105" s="57">
        <v>750000</v>
      </c>
      <c r="D105" s="539"/>
      <c r="E105" s="105">
        <f>C105+D105</f>
        <v>750000</v>
      </c>
      <c r="F105" s="57">
        <v>500000</v>
      </c>
    </row>
    <row r="106" spans="1:6" ht="15.75">
      <c r="A106" s="85">
        <v>2210302</v>
      </c>
      <c r="B106" s="56" t="s">
        <v>380</v>
      </c>
      <c r="C106" s="57">
        <v>750000</v>
      </c>
      <c r="D106" s="539"/>
      <c r="E106" s="105">
        <f>C106+D106</f>
        <v>750000</v>
      </c>
      <c r="F106" s="57">
        <v>500000</v>
      </c>
    </row>
    <row r="107" spans="1:6" ht="15.75">
      <c r="A107" s="85">
        <v>2210303</v>
      </c>
      <c r="B107" s="56" t="s">
        <v>39</v>
      </c>
      <c r="C107" s="57">
        <v>1000000</v>
      </c>
      <c r="D107" s="539"/>
      <c r="E107" s="105">
        <f>C107+D107</f>
        <v>1000000</v>
      </c>
      <c r="F107" s="57">
        <v>1000000</v>
      </c>
    </row>
    <row r="108" spans="1:6" ht="15.75">
      <c r="A108" s="85">
        <v>221101</v>
      </c>
      <c r="B108" s="56" t="s">
        <v>123</v>
      </c>
      <c r="C108" s="57">
        <v>750000</v>
      </c>
      <c r="D108" s="539"/>
      <c r="E108" s="105">
        <f>C108+D108</f>
        <v>750000</v>
      </c>
      <c r="F108" s="57">
        <v>500000</v>
      </c>
    </row>
    <row r="109" spans="1:6" s="504" customFormat="1" ht="15.75">
      <c r="A109" s="85">
        <v>2211009</v>
      </c>
      <c r="B109" s="56" t="s">
        <v>111</v>
      </c>
      <c r="C109" s="57"/>
      <c r="D109" s="539"/>
      <c r="E109" s="105"/>
      <c r="F109" s="57">
        <v>200000</v>
      </c>
    </row>
    <row r="110" spans="1:6" s="504" customFormat="1" ht="15.75">
      <c r="A110" s="85">
        <v>2211201</v>
      </c>
      <c r="B110" s="56" t="s">
        <v>130</v>
      </c>
      <c r="C110" s="57"/>
      <c r="D110" s="539"/>
      <c r="E110" s="105"/>
      <c r="F110" s="57">
        <v>600000</v>
      </c>
    </row>
    <row r="111" spans="1:6" s="504" customFormat="1" ht="15.75">
      <c r="A111" s="506" t="s">
        <v>149</v>
      </c>
      <c r="B111" s="56" t="s">
        <v>1094</v>
      </c>
      <c r="C111" s="57"/>
      <c r="D111" s="539"/>
      <c r="E111" s="105"/>
      <c r="F111" s="57">
        <v>600000</v>
      </c>
    </row>
    <row r="112" spans="1:6" s="504" customFormat="1" ht="15.75">
      <c r="A112" s="141" t="s">
        <v>127</v>
      </c>
      <c r="B112" s="122" t="s">
        <v>128</v>
      </c>
      <c r="C112" s="57"/>
      <c r="D112" s="539"/>
      <c r="E112" s="105"/>
      <c r="F112" s="57">
        <v>500000</v>
      </c>
    </row>
    <row r="113" spans="1:6" ht="15.75">
      <c r="A113" s="180"/>
      <c r="B113" s="58" t="s">
        <v>798</v>
      </c>
      <c r="C113" s="557">
        <f>SUM(C105:C108)</f>
        <v>3250000</v>
      </c>
      <c r="D113" s="557">
        <f>SUM(D105:D108)</f>
        <v>0</v>
      </c>
      <c r="E113" s="557">
        <f>SUM(E105:E112)</f>
        <v>3250000</v>
      </c>
      <c r="F113" s="557">
        <f>SUM(F105:F112)</f>
        <v>4400000</v>
      </c>
    </row>
    <row r="114" spans="1:6" s="700" customFormat="1" ht="15.75" hidden="1">
      <c r="A114" s="179">
        <v>310000</v>
      </c>
      <c r="B114" s="64" t="s">
        <v>763</v>
      </c>
      <c r="C114" s="558"/>
      <c r="D114" s="538"/>
      <c r="E114" s="420"/>
      <c r="F114" s="417"/>
    </row>
    <row r="115" spans="1:6" s="700" customFormat="1" ht="15.75" hidden="1">
      <c r="A115" s="151">
        <v>3111302</v>
      </c>
      <c r="B115" s="161" t="s">
        <v>573</v>
      </c>
      <c r="C115" s="162" t="e">
        <f>'PROJECTS DETAILS'!#REF!</f>
        <v>#REF!</v>
      </c>
      <c r="D115" s="538" t="e">
        <f>'PROJECTS DETAILS'!#REF!</f>
        <v>#REF!</v>
      </c>
      <c r="E115" s="420" t="e">
        <f>C115+D115</f>
        <v>#REF!</v>
      </c>
      <c r="F115" s="417"/>
    </row>
    <row r="116" spans="1:6" s="700" customFormat="1" ht="15.75" hidden="1">
      <c r="A116" s="398">
        <v>3111120</v>
      </c>
      <c r="B116" s="161" t="s">
        <v>574</v>
      </c>
      <c r="C116" s="162" t="e">
        <f>'PROJECTS DETAILS'!#REF!</f>
        <v>#REF!</v>
      </c>
      <c r="D116" s="538" t="e">
        <f>'PROJECTS DETAILS'!#REF!</f>
        <v>#REF!</v>
      </c>
      <c r="E116" s="420" t="e">
        <f>C116+D116</f>
        <v>#REF!</v>
      </c>
      <c r="F116" s="417"/>
    </row>
    <row r="117" spans="1:6" s="2" customFormat="1" ht="15.75" hidden="1">
      <c r="A117" s="140"/>
      <c r="B117" s="6" t="s">
        <v>799</v>
      </c>
      <c r="C117" s="802" t="e">
        <f>SUM(C115:C116)</f>
        <v>#REF!</v>
      </c>
      <c r="D117" s="802" t="e">
        <f>SUM(D115:D116)</f>
        <v>#REF!</v>
      </c>
      <c r="E117" s="802" t="e">
        <f>SUM(E115:E116)</f>
        <v>#REF!</v>
      </c>
      <c r="F117" s="803"/>
    </row>
    <row r="118" spans="1:6" s="2" customFormat="1" ht="15.75" hidden="1">
      <c r="A118" s="140"/>
      <c r="B118" s="6" t="s">
        <v>800</v>
      </c>
      <c r="C118" s="802" t="e">
        <f>SUM(C117,C113)</f>
        <v>#REF!</v>
      </c>
      <c r="D118" s="802" t="e">
        <f>SUM(D117,D113)</f>
        <v>#REF!</v>
      </c>
      <c r="E118" s="802" t="e">
        <f>SUM(E117,E113)</f>
        <v>#REF!</v>
      </c>
      <c r="F118" s="803"/>
    </row>
    <row r="119" spans="1:6" s="2" customFormat="1" ht="15.75">
      <c r="A119" s="179">
        <v>10804</v>
      </c>
      <c r="B119" s="64" t="s">
        <v>794</v>
      </c>
      <c r="C119" s="558"/>
      <c r="D119" s="538"/>
      <c r="E119" s="420"/>
      <c r="F119" s="417"/>
    </row>
    <row r="120" spans="1:6" s="502" customFormat="1" ht="15.75">
      <c r="A120" s="85">
        <v>2210301</v>
      </c>
      <c r="B120" s="56" t="s">
        <v>379</v>
      </c>
      <c r="C120" s="558"/>
      <c r="D120" s="720"/>
      <c r="E120" s="420"/>
      <c r="F120" s="57">
        <v>300000</v>
      </c>
    </row>
    <row r="121" spans="1:6" s="502" customFormat="1" ht="15.75">
      <c r="A121" s="85">
        <v>2210302</v>
      </c>
      <c r="B121" s="56" t="s">
        <v>380</v>
      </c>
      <c r="C121" s="558"/>
      <c r="D121" s="720"/>
      <c r="E121" s="420"/>
      <c r="F121" s="57">
        <v>400000</v>
      </c>
    </row>
    <row r="122" spans="1:6" s="502" customFormat="1" ht="15.75">
      <c r="A122" s="85">
        <v>2210303</v>
      </c>
      <c r="B122" s="56" t="s">
        <v>39</v>
      </c>
      <c r="C122" s="558"/>
      <c r="D122" s="720"/>
      <c r="E122" s="420"/>
      <c r="F122" s="57">
        <v>400000</v>
      </c>
    </row>
    <row r="123" spans="1:6" s="502" customFormat="1" ht="15.75">
      <c r="A123" s="85">
        <v>221101</v>
      </c>
      <c r="B123" s="56" t="s">
        <v>123</v>
      </c>
      <c r="C123" s="558"/>
      <c r="D123" s="720"/>
      <c r="E123" s="420"/>
      <c r="F123" s="57">
        <v>400000</v>
      </c>
    </row>
    <row r="124" spans="1:6" s="502" customFormat="1" ht="15.75">
      <c r="A124" s="85">
        <v>2211009</v>
      </c>
      <c r="B124" s="56" t="s">
        <v>111</v>
      </c>
      <c r="C124" s="558"/>
      <c r="D124" s="720"/>
      <c r="E124" s="420"/>
      <c r="F124" s="57">
        <v>100000</v>
      </c>
    </row>
    <row r="125" spans="1:6" s="502" customFormat="1" ht="15.75">
      <c r="A125" s="85">
        <v>2211201</v>
      </c>
      <c r="B125" s="56" t="s">
        <v>130</v>
      </c>
      <c r="C125" s="558"/>
      <c r="D125" s="720"/>
      <c r="E125" s="420"/>
      <c r="F125" s="801">
        <v>300000</v>
      </c>
    </row>
    <row r="126" spans="1:6" s="502" customFormat="1" ht="15.75">
      <c r="A126" s="506" t="s">
        <v>149</v>
      </c>
      <c r="B126" s="56" t="s">
        <v>1094</v>
      </c>
      <c r="C126" s="558"/>
      <c r="D126" s="720"/>
      <c r="E126" s="420"/>
      <c r="F126" s="801">
        <v>250000</v>
      </c>
    </row>
    <row r="127" spans="1:6" s="502" customFormat="1" ht="15.75">
      <c r="A127" s="85">
        <v>3110302</v>
      </c>
      <c r="B127" s="56" t="s">
        <v>206</v>
      </c>
      <c r="C127" s="558"/>
      <c r="D127" s="720"/>
      <c r="E127" s="420"/>
      <c r="F127" s="553">
        <v>1000000</v>
      </c>
    </row>
    <row r="128" spans="1:6" s="502" customFormat="1" ht="15.75">
      <c r="A128" s="141">
        <v>2211103</v>
      </c>
      <c r="B128" s="122" t="s">
        <v>128</v>
      </c>
      <c r="C128" s="558"/>
      <c r="D128" s="720"/>
      <c r="E128" s="420"/>
      <c r="F128" s="57">
        <v>500000</v>
      </c>
    </row>
    <row r="129" spans="1:6" s="502" customFormat="1" ht="15.75">
      <c r="A129" s="180"/>
      <c r="B129" s="58" t="s">
        <v>1095</v>
      </c>
      <c r="C129" s="557">
        <f>SUM(C123:C126)</f>
        <v>0</v>
      </c>
      <c r="D129" s="557">
        <f>SUM(D123:D126)</f>
        <v>0</v>
      </c>
      <c r="E129" s="557">
        <f>SUM(E123:E128)</f>
        <v>0</v>
      </c>
      <c r="F129" s="557">
        <f>SUM(F120:F128)</f>
        <v>3650000</v>
      </c>
    </row>
    <row r="130" spans="1:6" s="700" customFormat="1" ht="15.75" hidden="1">
      <c r="A130" s="179">
        <v>310000</v>
      </c>
      <c r="B130" s="64" t="s">
        <v>763</v>
      </c>
      <c r="C130" s="558"/>
      <c r="D130" s="538"/>
      <c r="E130" s="420"/>
      <c r="F130" s="417"/>
    </row>
    <row r="131" spans="1:6" s="700" customFormat="1" ht="15.75" hidden="1">
      <c r="A131" s="85">
        <v>2630203</v>
      </c>
      <c r="B131" s="715" t="s">
        <v>883</v>
      </c>
      <c r="C131" s="716" t="e">
        <f>'PROJECTS DETAILS'!#REF!</f>
        <v>#REF!</v>
      </c>
      <c r="D131" s="538" t="e">
        <f>'PROJECTS DETAILS'!#REF!</f>
        <v>#REF!</v>
      </c>
      <c r="E131" s="420" t="e">
        <f aca="true" t="shared" si="2" ref="E131:E138">C131+D131</f>
        <v>#REF!</v>
      </c>
      <c r="F131" s="417"/>
    </row>
    <row r="132" spans="1:6" s="700" customFormat="1" ht="15.75" hidden="1">
      <c r="A132" s="85">
        <v>2640503</v>
      </c>
      <c r="B132" s="715" t="s">
        <v>884</v>
      </c>
      <c r="C132" s="716" t="e">
        <f>'PROJECTS DETAILS'!#REF!</f>
        <v>#REF!</v>
      </c>
      <c r="D132" s="538" t="e">
        <f>'PROJECTS DETAILS'!#REF!</f>
        <v>#REF!</v>
      </c>
      <c r="E132" s="420" t="e">
        <f t="shared" si="2"/>
        <v>#REF!</v>
      </c>
      <c r="F132" s="417"/>
    </row>
    <row r="133" spans="1:6" s="700" customFormat="1" ht="15.75" hidden="1">
      <c r="A133" s="151">
        <v>3110599</v>
      </c>
      <c r="B133" s="161" t="s">
        <v>557</v>
      </c>
      <c r="C133" s="162" t="e">
        <f>'PROJECTS DETAILS'!#REF!</f>
        <v>#REF!</v>
      </c>
      <c r="D133" s="538" t="e">
        <f>'PROJECTS DETAILS'!#REF!</f>
        <v>#REF!</v>
      </c>
      <c r="E133" s="420" t="e">
        <f t="shared" si="2"/>
        <v>#REF!</v>
      </c>
      <c r="F133" s="417"/>
    </row>
    <row r="134" spans="1:6" s="700" customFormat="1" ht="15.75" hidden="1">
      <c r="A134" s="151"/>
      <c r="B134" s="43" t="s">
        <v>559</v>
      </c>
      <c r="C134" s="162" t="e">
        <f>'PROJECTS DETAILS'!#REF!</f>
        <v>#REF!</v>
      </c>
      <c r="D134" s="538" t="e">
        <f>'PROJECTS DETAILS'!#REF!</f>
        <v>#REF!</v>
      </c>
      <c r="E134" s="420" t="e">
        <f t="shared" si="2"/>
        <v>#REF!</v>
      </c>
      <c r="F134" s="417"/>
    </row>
    <row r="135" spans="1:6" s="700" customFormat="1" ht="15.75" hidden="1">
      <c r="A135" s="151"/>
      <c r="B135" s="43" t="s">
        <v>560</v>
      </c>
      <c r="C135" s="162" t="e">
        <f>'PROJECTS DETAILS'!#REF!</f>
        <v>#REF!</v>
      </c>
      <c r="D135" s="538" t="e">
        <f>'PROJECTS DETAILS'!#REF!</f>
        <v>#REF!</v>
      </c>
      <c r="E135" s="420" t="e">
        <f t="shared" si="2"/>
        <v>#REF!</v>
      </c>
      <c r="F135" s="417"/>
    </row>
    <row r="136" spans="1:6" s="700" customFormat="1" ht="15.75" hidden="1">
      <c r="A136" s="151"/>
      <c r="B136" s="156" t="s">
        <v>940</v>
      </c>
      <c r="C136" s="162" t="e">
        <f>'PROJECTS DETAILS'!#REF!</f>
        <v>#REF!</v>
      </c>
      <c r="D136" s="538" t="e">
        <f>'PROJECTS DETAILS'!#REF!</f>
        <v>#REF!</v>
      </c>
      <c r="E136" s="420" t="e">
        <f t="shared" si="2"/>
        <v>#REF!</v>
      </c>
      <c r="F136" s="417"/>
    </row>
    <row r="137" spans="1:6" s="700" customFormat="1" ht="15.75" hidden="1">
      <c r="A137" s="151">
        <v>3110599</v>
      </c>
      <c r="B137" s="717" t="s">
        <v>561</v>
      </c>
      <c r="C137" s="162" t="e">
        <f>'PROJECTS DETAILS'!#REF!</f>
        <v>#REF!</v>
      </c>
      <c r="D137" s="538" t="e">
        <f>'PROJECTS DETAILS'!#REF!</f>
        <v>#REF!</v>
      </c>
      <c r="E137" s="420" t="e">
        <f t="shared" si="2"/>
        <v>#REF!</v>
      </c>
      <c r="F137" s="417"/>
    </row>
    <row r="138" spans="1:6" s="700" customFormat="1" ht="15.75" hidden="1">
      <c r="A138" s="151">
        <v>3110599</v>
      </c>
      <c r="B138" s="717" t="s">
        <v>563</v>
      </c>
      <c r="C138" s="162" t="e">
        <f>'PROJECTS DETAILS'!#REF!</f>
        <v>#REF!</v>
      </c>
      <c r="D138" s="538" t="e">
        <f>'PROJECTS DETAILS'!#REF!</f>
        <v>#REF!</v>
      </c>
      <c r="E138" s="420" t="e">
        <f t="shared" si="2"/>
        <v>#REF!</v>
      </c>
      <c r="F138" s="417"/>
    </row>
    <row r="139" spans="1:6" s="2" customFormat="1" ht="15.75" hidden="1">
      <c r="A139" s="140"/>
      <c r="B139" s="292" t="s">
        <v>801</v>
      </c>
      <c r="C139" s="559" t="e">
        <f>SUM(C131:C138)</f>
        <v>#REF!</v>
      </c>
      <c r="D139" s="559" t="e">
        <f>SUM(D131:D138)</f>
        <v>#REF!</v>
      </c>
      <c r="E139" s="559"/>
      <c r="F139" s="559"/>
    </row>
    <row r="140" spans="1:6" ht="15.75">
      <c r="A140" s="140"/>
      <c r="B140" s="140" t="s">
        <v>171</v>
      </c>
      <c r="C140" s="7">
        <f>SUM(C113,C93,C76)</f>
        <v>69344206</v>
      </c>
      <c r="D140" s="549">
        <f>SUM(D113,D93,D76)</f>
        <v>38341980</v>
      </c>
      <c r="E140" s="7">
        <f>SUM(E113,E93,E76)</f>
        <v>107686186</v>
      </c>
      <c r="F140" s="7">
        <f>SUM(F113,F93,F76,F129)</f>
        <v>97105000</v>
      </c>
    </row>
    <row r="141" spans="1:6" ht="15.75">
      <c r="A141" s="140"/>
      <c r="B141" s="6" t="s">
        <v>784</v>
      </c>
      <c r="C141" s="7" t="e">
        <f>SUM(C140,#REF!)</f>
        <v>#REF!</v>
      </c>
      <c r="D141" s="549" t="e">
        <f>SUM(D140,#REF!)</f>
        <v>#REF!</v>
      </c>
      <c r="E141" s="7">
        <f>SUM(E140)</f>
        <v>107686186</v>
      </c>
      <c r="F141" s="7">
        <f>SUM(F140)</f>
        <v>97105000</v>
      </c>
    </row>
    <row r="142" spans="1:6" ht="16.5" customHeight="1">
      <c r="A142" s="296"/>
      <c r="B142" s="6" t="s">
        <v>787</v>
      </c>
      <c r="C142" s="138" t="e">
        <f>SUM(C139,C117,C101,C81)</f>
        <v>#REF!</v>
      </c>
      <c r="D142" s="560" t="e">
        <f>SUM(D139,D117,D101,D81)</f>
        <v>#REF!</v>
      </c>
      <c r="E142" s="138"/>
      <c r="F142" s="138"/>
    </row>
    <row r="143" spans="1:6" ht="15.75">
      <c r="A143" s="296"/>
      <c r="B143" s="6" t="s">
        <v>790</v>
      </c>
      <c r="C143" s="138" t="e">
        <f>SUM(C141:C142)</f>
        <v>#REF!</v>
      </c>
      <c r="D143" s="560" t="e">
        <f>SUM(D141:D142)</f>
        <v>#REF!</v>
      </c>
      <c r="E143" s="138">
        <f>SUM(E141:E142)</f>
        <v>107686186</v>
      </c>
      <c r="F143" s="138">
        <f>SUM(F141:F142)</f>
        <v>97105000</v>
      </c>
    </row>
    <row r="144" spans="3:6" ht="15">
      <c r="C144" s="9">
        <v>18865000</v>
      </c>
      <c r="D144" s="537">
        <v>11689925</v>
      </c>
      <c r="E144" s="9">
        <v>30554925</v>
      </c>
      <c r="F144" s="9">
        <f>E141+'AGRIC &amp; COOP'!E126</f>
        <v>409364327</v>
      </c>
    </row>
    <row r="145" spans="3:5" ht="15">
      <c r="C145" s="9" t="e">
        <f>C141+C144</f>
        <v>#REF!</v>
      </c>
      <c r="D145" s="721" t="e">
        <f>D141+D144</f>
        <v>#REF!</v>
      </c>
      <c r="E145" s="9">
        <f>E141+E144</f>
        <v>138241111</v>
      </c>
    </row>
  </sheetData>
  <sheetProtection/>
  <mergeCells count="2">
    <mergeCell ref="A2:B2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4" r:id="rId1"/>
  <rowBreaks count="1" manualBreakCount="1">
    <brk id="55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F72"/>
  <sheetViews>
    <sheetView view="pageBreakPreview" zoomScale="130" zoomScaleSheetLayoutView="130" zoomScalePageLayoutView="0" workbookViewId="0" topLeftCell="A1">
      <pane ySplit="2" topLeftCell="A58" activePane="bottomLeft" state="frozen"/>
      <selection pane="topLeft" activeCell="A1" sqref="A1"/>
      <selection pane="bottomLeft" activeCell="A60" sqref="A60:IV66"/>
    </sheetView>
  </sheetViews>
  <sheetFormatPr defaultColWidth="9.140625" defaultRowHeight="15"/>
  <cols>
    <col min="1" max="1" width="11.28125" style="209" customWidth="1"/>
    <col min="2" max="2" width="65.00390625" style="1" customWidth="1"/>
    <col min="3" max="3" width="13.7109375" style="1" hidden="1" customWidth="1"/>
    <col min="4" max="4" width="18.28125" style="573" hidden="1" customWidth="1"/>
    <col min="5" max="5" width="18.8515625" style="475" customWidth="1"/>
    <col min="6" max="6" width="19.7109375" style="9" customWidth="1"/>
  </cols>
  <sheetData>
    <row r="1" spans="1:3" ht="15.75">
      <c r="A1" s="921" t="s">
        <v>185</v>
      </c>
      <c r="B1" s="922"/>
      <c r="C1" s="929"/>
    </row>
    <row r="2" spans="1:6" s="21" customFormat="1" ht="63">
      <c r="A2" s="904" t="s">
        <v>168</v>
      </c>
      <c r="B2" s="923"/>
      <c r="C2" s="192" t="s">
        <v>996</v>
      </c>
      <c r="D2" s="490" t="s">
        <v>995</v>
      </c>
      <c r="E2" s="476" t="s">
        <v>997</v>
      </c>
      <c r="F2" s="393" t="s">
        <v>1068</v>
      </c>
    </row>
    <row r="3" spans="1:6" s="21" customFormat="1" ht="15.75">
      <c r="A3" s="200">
        <v>10604</v>
      </c>
      <c r="B3" s="200" t="s">
        <v>726</v>
      </c>
      <c r="C3" s="436"/>
      <c r="D3" s="574"/>
      <c r="E3" s="773"/>
      <c r="F3" s="419"/>
    </row>
    <row r="4" spans="1:6" s="21" customFormat="1" ht="15.75">
      <c r="A4" s="202">
        <v>2200000</v>
      </c>
      <c r="B4" s="64" t="s">
        <v>679</v>
      </c>
      <c r="C4" s="436"/>
      <c r="D4" s="574"/>
      <c r="E4" s="773"/>
      <c r="F4" s="419"/>
    </row>
    <row r="5" spans="1:6" ht="15.75">
      <c r="A5" s="12"/>
      <c r="B5" s="101" t="s">
        <v>21</v>
      </c>
      <c r="C5" s="437"/>
      <c r="D5" s="575"/>
      <c r="E5" s="774"/>
      <c r="F5" s="105"/>
    </row>
    <row r="6" spans="1:6" ht="15.75">
      <c r="A6" s="12" t="s">
        <v>19</v>
      </c>
      <c r="B6" s="99" t="s">
        <v>20</v>
      </c>
      <c r="C6" s="437">
        <v>5000000</v>
      </c>
      <c r="D6" s="575">
        <v>15000000</v>
      </c>
      <c r="E6" s="774">
        <f>C6+D6</f>
        <v>20000000</v>
      </c>
      <c r="F6" s="539">
        <v>20000000</v>
      </c>
    </row>
    <row r="7" spans="1:6" ht="15.75">
      <c r="A7" s="12" t="s">
        <v>22</v>
      </c>
      <c r="B7" s="99" t="s">
        <v>23</v>
      </c>
      <c r="C7" s="437">
        <v>100000</v>
      </c>
      <c r="D7" s="575"/>
      <c r="E7" s="774">
        <f>C7+D7</f>
        <v>100000</v>
      </c>
      <c r="F7" s="539">
        <v>100000</v>
      </c>
    </row>
    <row r="8" spans="1:6" ht="15.75">
      <c r="A8" s="140" t="s">
        <v>170</v>
      </c>
      <c r="B8" s="6"/>
      <c r="C8" s="304">
        <f>SUM(C6:C7)</f>
        <v>5100000</v>
      </c>
      <c r="D8" s="527">
        <f>SUM(D6:D7)</f>
        <v>15000000</v>
      </c>
      <c r="E8" s="477">
        <f>SUM(E6:E7)</f>
        <v>20100000</v>
      </c>
      <c r="F8" s="113">
        <f>SUM(F6:F7)</f>
        <v>20100000</v>
      </c>
    </row>
    <row r="9" spans="1:6" ht="15.75">
      <c r="A9" s="12"/>
      <c r="B9" s="101" t="s">
        <v>28</v>
      </c>
      <c r="C9" s="437"/>
      <c r="D9" s="575"/>
      <c r="E9" s="774"/>
      <c r="F9" s="105"/>
    </row>
    <row r="10" spans="1:6" ht="15.75">
      <c r="A10" s="12" t="s">
        <v>26</v>
      </c>
      <c r="B10" s="99" t="s">
        <v>27</v>
      </c>
      <c r="C10" s="437">
        <v>100000</v>
      </c>
      <c r="D10" s="575"/>
      <c r="E10" s="774">
        <f>C10+D10</f>
        <v>100000</v>
      </c>
      <c r="F10" s="539">
        <v>180000</v>
      </c>
    </row>
    <row r="11" spans="1:6" ht="15.75">
      <c r="A11" s="12" t="s">
        <v>31</v>
      </c>
      <c r="B11" s="99" t="s">
        <v>32</v>
      </c>
      <c r="C11" s="437">
        <v>20000</v>
      </c>
      <c r="D11" s="575"/>
      <c r="E11" s="774">
        <f>C11+D11</f>
        <v>20000</v>
      </c>
      <c r="F11" s="539">
        <v>20000</v>
      </c>
    </row>
    <row r="12" spans="1:6" ht="15.75">
      <c r="A12" s="140" t="s">
        <v>170</v>
      </c>
      <c r="B12" s="6"/>
      <c r="C12" s="304">
        <f>SUM(C10:C11)</f>
        <v>120000</v>
      </c>
      <c r="D12" s="527">
        <f>SUM(D10:D11)</f>
        <v>0</v>
      </c>
      <c r="E12" s="477">
        <f>SUM(E10:E11)</f>
        <v>120000</v>
      </c>
      <c r="F12" s="113">
        <f>SUM(F10:F11)</f>
        <v>200000</v>
      </c>
    </row>
    <row r="13" spans="1:6" s="98" customFormat="1" ht="15.75">
      <c r="A13" s="179"/>
      <c r="B13" s="66" t="s">
        <v>44</v>
      </c>
      <c r="C13" s="305"/>
      <c r="D13" s="575"/>
      <c r="E13" s="774"/>
      <c r="F13" s="105"/>
    </row>
    <row r="14" spans="1:6" s="98" customFormat="1" ht="15.75">
      <c r="A14" s="12" t="s">
        <v>42</v>
      </c>
      <c r="B14" s="99" t="s">
        <v>43</v>
      </c>
      <c r="C14" s="169">
        <v>100000</v>
      </c>
      <c r="D14" s="575"/>
      <c r="E14" s="774">
        <f>C14+D14</f>
        <v>100000</v>
      </c>
      <c r="F14" s="539">
        <v>200000</v>
      </c>
    </row>
    <row r="15" spans="1:6" s="98" customFormat="1" ht="15.75">
      <c r="A15" s="12" t="s">
        <v>45</v>
      </c>
      <c r="B15" s="99" t="s">
        <v>46</v>
      </c>
      <c r="C15" s="169">
        <v>500000</v>
      </c>
      <c r="D15" s="575"/>
      <c r="E15" s="774">
        <f>C15+D15</f>
        <v>500000</v>
      </c>
      <c r="F15" s="539">
        <v>500000</v>
      </c>
    </row>
    <row r="16" spans="1:6" s="98" customFormat="1" ht="15.75">
      <c r="A16" s="12" t="s">
        <v>47</v>
      </c>
      <c r="B16" s="99" t="s">
        <v>39</v>
      </c>
      <c r="C16" s="169">
        <v>600000</v>
      </c>
      <c r="D16" s="575"/>
      <c r="E16" s="774">
        <f>C16+D16</f>
        <v>600000</v>
      </c>
      <c r="F16" s="539">
        <v>500000</v>
      </c>
    </row>
    <row r="17" spans="1:6" s="98" customFormat="1" ht="15.75">
      <c r="A17" s="12" t="s">
        <v>48</v>
      </c>
      <c r="B17" s="99" t="s">
        <v>49</v>
      </c>
      <c r="C17" s="169">
        <v>50000</v>
      </c>
      <c r="D17" s="575"/>
      <c r="E17" s="774">
        <f>C17+D17</f>
        <v>50000</v>
      </c>
      <c r="F17" s="539"/>
    </row>
    <row r="18" spans="1:6" s="98" customFormat="1" ht="15.75">
      <c r="A18" s="140" t="s">
        <v>170</v>
      </c>
      <c r="B18" s="6"/>
      <c r="C18" s="304">
        <f>SUM(C14:C17)</f>
        <v>1250000</v>
      </c>
      <c r="D18" s="527">
        <f>SUM(D14:D17)</f>
        <v>0</v>
      </c>
      <c r="E18" s="477">
        <f>SUM(E14:E17)</f>
        <v>1250000</v>
      </c>
      <c r="F18" s="113">
        <f>SUM(F14:F17)</f>
        <v>1200000</v>
      </c>
    </row>
    <row r="19" spans="1:6" ht="15.75">
      <c r="A19" s="12"/>
      <c r="B19" s="101" t="s">
        <v>35</v>
      </c>
      <c r="C19" s="437"/>
      <c r="D19" s="575"/>
      <c r="E19" s="774"/>
      <c r="F19" s="105"/>
    </row>
    <row r="20" spans="1:6" ht="15.75">
      <c r="A20" s="12" t="s">
        <v>33</v>
      </c>
      <c r="B20" s="99" t="s">
        <v>34</v>
      </c>
      <c r="C20" s="437">
        <v>300000</v>
      </c>
      <c r="D20" s="575"/>
      <c r="E20" s="774">
        <f>C20+D20</f>
        <v>300000</v>
      </c>
      <c r="F20" s="539">
        <v>450000</v>
      </c>
    </row>
    <row r="21" spans="1:6" ht="15.75">
      <c r="A21" s="12" t="s">
        <v>36</v>
      </c>
      <c r="B21" s="99" t="s">
        <v>37</v>
      </c>
      <c r="C21" s="437">
        <v>3000000</v>
      </c>
      <c r="D21" s="575"/>
      <c r="E21" s="774">
        <f>C21+D21</f>
        <v>3000000</v>
      </c>
      <c r="F21" s="539">
        <v>2000000</v>
      </c>
    </row>
    <row r="22" spans="1:6" ht="15.75">
      <c r="A22" s="12" t="s">
        <v>38</v>
      </c>
      <c r="B22" s="99" t="s">
        <v>39</v>
      </c>
      <c r="C22" s="437">
        <v>3500000</v>
      </c>
      <c r="D22" s="575">
        <v>-1000000</v>
      </c>
      <c r="E22" s="774">
        <f>C22+D22</f>
        <v>2500000</v>
      </c>
      <c r="F22" s="539">
        <v>2000000</v>
      </c>
    </row>
    <row r="23" spans="1:6" ht="15.75">
      <c r="A23" s="140" t="s">
        <v>170</v>
      </c>
      <c r="B23" s="6"/>
      <c r="C23" s="304">
        <f>SUM(C20:C22)</f>
        <v>6800000</v>
      </c>
      <c r="D23" s="527">
        <f>SUM(D20:D22)</f>
        <v>-1000000</v>
      </c>
      <c r="E23" s="477">
        <f>SUM(E20:E22)</f>
        <v>5800000</v>
      </c>
      <c r="F23" s="113">
        <f>SUM(F20:F22)</f>
        <v>4450000</v>
      </c>
    </row>
    <row r="24" spans="1:6" ht="15.75">
      <c r="A24" s="12"/>
      <c r="B24" s="101" t="s">
        <v>50</v>
      </c>
      <c r="C24" s="437"/>
      <c r="D24" s="575"/>
      <c r="E24" s="774"/>
      <c r="F24" s="105"/>
    </row>
    <row r="25" spans="1:6" ht="15.75">
      <c r="A25" s="12" t="s">
        <v>51</v>
      </c>
      <c r="B25" s="99" t="s">
        <v>52</v>
      </c>
      <c r="C25" s="437">
        <v>100000</v>
      </c>
      <c r="D25" s="575"/>
      <c r="E25" s="774">
        <f>C25+D25</f>
        <v>100000</v>
      </c>
      <c r="F25" s="539">
        <v>200000</v>
      </c>
    </row>
    <row r="26" spans="1:6" ht="15.75">
      <c r="A26" s="12" t="s">
        <v>53</v>
      </c>
      <c r="B26" s="99" t="s">
        <v>54</v>
      </c>
      <c r="C26" s="437">
        <v>70000</v>
      </c>
      <c r="D26" s="575"/>
      <c r="E26" s="774">
        <f>C26+D26</f>
        <v>70000</v>
      </c>
      <c r="F26" s="539">
        <v>100000</v>
      </c>
    </row>
    <row r="27" spans="1:6" ht="15.75">
      <c r="A27" s="12" t="s">
        <v>55</v>
      </c>
      <c r="B27" s="99" t="s">
        <v>56</v>
      </c>
      <c r="C27" s="437">
        <v>750000</v>
      </c>
      <c r="D27" s="575"/>
      <c r="E27" s="774">
        <f>C27+D27</f>
        <v>750000</v>
      </c>
      <c r="F27" s="846">
        <v>900000</v>
      </c>
    </row>
    <row r="28" spans="1:6" ht="15.75">
      <c r="A28" s="140" t="s">
        <v>170</v>
      </c>
      <c r="B28" s="6"/>
      <c r="C28" s="304">
        <f>SUM(C25:C27)</f>
        <v>920000</v>
      </c>
      <c r="D28" s="527">
        <f>SUM(D25:D27)</f>
        <v>0</v>
      </c>
      <c r="E28" s="477">
        <f>SUM(E25:E27)</f>
        <v>920000</v>
      </c>
      <c r="F28" s="113">
        <f>SUM(F25:F27)</f>
        <v>1200000</v>
      </c>
    </row>
    <row r="29" spans="1:6" ht="15.75">
      <c r="A29" s="12"/>
      <c r="B29" s="101" t="s">
        <v>84</v>
      </c>
      <c r="C29" s="437"/>
      <c r="D29" s="575"/>
      <c r="E29" s="774"/>
      <c r="F29" s="105"/>
    </row>
    <row r="30" spans="1:6" ht="15.75">
      <c r="A30" s="12" t="s">
        <v>82</v>
      </c>
      <c r="B30" s="99" t="s">
        <v>83</v>
      </c>
      <c r="C30" s="437">
        <v>150000</v>
      </c>
      <c r="D30" s="575"/>
      <c r="E30" s="774">
        <f>C30+D30</f>
        <v>150000</v>
      </c>
      <c r="F30" s="847">
        <v>200000</v>
      </c>
    </row>
    <row r="31" spans="1:6" ht="15.75">
      <c r="A31" s="12" t="s">
        <v>85</v>
      </c>
      <c r="B31" s="99" t="s">
        <v>86</v>
      </c>
      <c r="C31" s="437">
        <v>300000</v>
      </c>
      <c r="D31" s="575">
        <v>1500000</v>
      </c>
      <c r="E31" s="774">
        <f>C31+D31</f>
        <v>1800000</v>
      </c>
      <c r="F31" s="846">
        <v>1000000</v>
      </c>
    </row>
    <row r="32" spans="1:6" ht="15.75">
      <c r="A32" s="140" t="s">
        <v>170</v>
      </c>
      <c r="B32" s="6"/>
      <c r="C32" s="304">
        <f>SUM(C30:C31)</f>
        <v>450000</v>
      </c>
      <c r="D32" s="527">
        <f>SUM(D30:D31)</f>
        <v>1500000</v>
      </c>
      <c r="E32" s="477">
        <f>SUM(E30:E31)</f>
        <v>1950000</v>
      </c>
      <c r="F32" s="113">
        <f>SUM(F30:F31)</f>
        <v>1200000</v>
      </c>
    </row>
    <row r="33" spans="1:6" ht="15.75">
      <c r="A33" s="12"/>
      <c r="B33" s="101" t="s">
        <v>124</v>
      </c>
      <c r="C33" s="437"/>
      <c r="D33" s="575"/>
      <c r="E33" s="774"/>
      <c r="F33" s="105"/>
    </row>
    <row r="34" spans="1:6" ht="15.75">
      <c r="A34" s="12" t="s">
        <v>122</v>
      </c>
      <c r="B34" s="99" t="s">
        <v>123</v>
      </c>
      <c r="C34" s="437">
        <v>500000</v>
      </c>
      <c r="D34" s="575"/>
      <c r="E34" s="774">
        <f>C34+D34</f>
        <v>500000</v>
      </c>
      <c r="F34" s="539">
        <v>600000</v>
      </c>
    </row>
    <row r="35" spans="1:6" ht="15.75">
      <c r="A35" s="12" t="s">
        <v>125</v>
      </c>
      <c r="B35" s="99" t="s">
        <v>126</v>
      </c>
      <c r="C35" s="437">
        <v>500000</v>
      </c>
      <c r="D35" s="575"/>
      <c r="E35" s="774">
        <f>C35+D35</f>
        <v>500000</v>
      </c>
      <c r="F35" s="539">
        <v>600000</v>
      </c>
    </row>
    <row r="36" spans="1:6" ht="15.75">
      <c r="A36" s="12" t="s">
        <v>127</v>
      </c>
      <c r="B36" s="99" t="s">
        <v>128</v>
      </c>
      <c r="C36" s="437">
        <v>200000</v>
      </c>
      <c r="D36" s="575"/>
      <c r="E36" s="774">
        <f>C36+D36</f>
        <v>200000</v>
      </c>
      <c r="F36" s="846">
        <v>300000</v>
      </c>
    </row>
    <row r="37" spans="1:6" ht="15.75">
      <c r="A37" s="140" t="s">
        <v>170</v>
      </c>
      <c r="B37" s="6"/>
      <c r="C37" s="304">
        <f>SUM(C34:C36)</f>
        <v>1200000</v>
      </c>
      <c r="D37" s="527">
        <f>SUM(D34:D36)</f>
        <v>0</v>
      </c>
      <c r="E37" s="477">
        <f>SUM(E34:E36)</f>
        <v>1200000</v>
      </c>
      <c r="F37" s="113">
        <f>SUM(F34:F36)</f>
        <v>1500000</v>
      </c>
    </row>
    <row r="38" spans="1:6" ht="15.75">
      <c r="A38" s="12"/>
      <c r="B38" s="101" t="s">
        <v>131</v>
      </c>
      <c r="C38" s="437"/>
      <c r="D38" s="575"/>
      <c r="E38" s="774"/>
      <c r="F38" s="105"/>
    </row>
    <row r="39" spans="1:6" ht="15.75">
      <c r="A39" s="12" t="s">
        <v>129</v>
      </c>
      <c r="B39" s="99" t="s">
        <v>130</v>
      </c>
      <c r="C39" s="437">
        <v>700000</v>
      </c>
      <c r="D39" s="575"/>
      <c r="E39" s="774">
        <f>C39+D39</f>
        <v>700000</v>
      </c>
      <c r="F39" s="846">
        <v>1000000</v>
      </c>
    </row>
    <row r="40" spans="1:6" ht="15.75">
      <c r="A40" s="140" t="s">
        <v>170</v>
      </c>
      <c r="B40" s="6"/>
      <c r="C40" s="304">
        <f>SUM(C39:C39)</f>
        <v>700000</v>
      </c>
      <c r="D40" s="527">
        <f>SUM(D39:D39)</f>
        <v>0</v>
      </c>
      <c r="E40" s="477">
        <f>SUM(E39:E39)</f>
        <v>700000</v>
      </c>
      <c r="F40" s="113">
        <f>SUM(F39:F39)</f>
        <v>1000000</v>
      </c>
    </row>
    <row r="41" spans="1:6" ht="15.75">
      <c r="A41" s="12"/>
      <c r="B41" s="101" t="s">
        <v>136</v>
      </c>
      <c r="C41" s="437"/>
      <c r="D41" s="575"/>
      <c r="E41" s="774"/>
      <c r="F41" s="105"/>
    </row>
    <row r="42" spans="1:6" s="2" customFormat="1" ht="15.75">
      <c r="A42" s="85"/>
      <c r="B42" s="56" t="s">
        <v>675</v>
      </c>
      <c r="C42" s="438">
        <v>4500000</v>
      </c>
      <c r="D42" s="576"/>
      <c r="E42" s="775">
        <f aca="true" t="shared" si="0" ref="E42:E48">C42+D42</f>
        <v>4500000</v>
      </c>
      <c r="F42" s="539">
        <v>5000000</v>
      </c>
    </row>
    <row r="43" spans="1:6" s="2" customFormat="1" ht="15.75">
      <c r="A43" s="85"/>
      <c r="B43" s="56" t="s">
        <v>477</v>
      </c>
      <c r="C43" s="438">
        <v>2500000</v>
      </c>
      <c r="D43" s="576">
        <v>2500000</v>
      </c>
      <c r="E43" s="775">
        <f t="shared" si="0"/>
        <v>5000000</v>
      </c>
      <c r="F43" s="539"/>
    </row>
    <row r="44" spans="1:6" ht="15.75">
      <c r="A44" s="148">
        <v>3111401</v>
      </c>
      <c r="B44" s="99" t="s">
        <v>478</v>
      </c>
      <c r="C44" s="437">
        <v>3000000</v>
      </c>
      <c r="D44" s="575"/>
      <c r="E44" s="775">
        <f t="shared" si="0"/>
        <v>3000000</v>
      </c>
      <c r="F44" s="539">
        <v>3000000</v>
      </c>
    </row>
    <row r="45" spans="1:6" ht="15.75">
      <c r="A45" s="85">
        <v>3111001</v>
      </c>
      <c r="B45" s="99" t="s">
        <v>200</v>
      </c>
      <c r="C45" s="437">
        <v>1000000</v>
      </c>
      <c r="D45" s="575">
        <v>-1000000</v>
      </c>
      <c r="E45" s="775">
        <f t="shared" si="0"/>
        <v>0</v>
      </c>
      <c r="F45" s="539">
        <v>2000000</v>
      </c>
    </row>
    <row r="46" spans="1:6" ht="15.75">
      <c r="A46" s="12">
        <v>3111002</v>
      </c>
      <c r="B46" s="99" t="s">
        <v>479</v>
      </c>
      <c r="C46" s="437">
        <v>0</v>
      </c>
      <c r="D46" s="575">
        <v>1500000</v>
      </c>
      <c r="E46" s="775">
        <f t="shared" si="0"/>
        <v>1500000</v>
      </c>
      <c r="F46" s="539">
        <v>1500000</v>
      </c>
    </row>
    <row r="47" spans="1:6" ht="15.75">
      <c r="A47" s="12" t="s">
        <v>137</v>
      </c>
      <c r="B47" s="99" t="s">
        <v>138</v>
      </c>
      <c r="C47" s="437">
        <v>300000</v>
      </c>
      <c r="D47" s="575"/>
      <c r="E47" s="775">
        <f t="shared" si="0"/>
        <v>300000</v>
      </c>
      <c r="F47" s="539">
        <v>500000</v>
      </c>
    </row>
    <row r="48" spans="1:6" s="106" customFormat="1" ht="15.75">
      <c r="A48" s="404"/>
      <c r="B48" s="405" t="s">
        <v>489</v>
      </c>
      <c r="C48" s="406">
        <v>1000000</v>
      </c>
      <c r="D48" s="576">
        <v>5800000</v>
      </c>
      <c r="E48" s="775">
        <f t="shared" si="0"/>
        <v>6800000</v>
      </c>
      <c r="F48" s="848">
        <v>4000000</v>
      </c>
    </row>
    <row r="49" spans="1:6" ht="15.75">
      <c r="A49" s="140" t="s">
        <v>170</v>
      </c>
      <c r="B49" s="6"/>
      <c r="C49" s="304">
        <f>SUM(C42:C48)</f>
        <v>12300000</v>
      </c>
      <c r="D49" s="527">
        <f>SUM(D42:D48)</f>
        <v>8800000</v>
      </c>
      <c r="E49" s="477">
        <f>SUM(E42:E48)</f>
        <v>21100000</v>
      </c>
      <c r="F49" s="113">
        <f>SUM(F42:F48)</f>
        <v>16000000</v>
      </c>
    </row>
    <row r="50" spans="1:6" ht="15.75">
      <c r="A50" s="179"/>
      <c r="B50" s="65" t="s">
        <v>480</v>
      </c>
      <c r="C50" s="305"/>
      <c r="D50" s="575"/>
      <c r="E50" s="774"/>
      <c r="F50" s="105"/>
    </row>
    <row r="51" spans="1:6" ht="15.75">
      <c r="A51" s="85">
        <v>2210310</v>
      </c>
      <c r="B51" s="56" t="s">
        <v>476</v>
      </c>
      <c r="C51" s="306">
        <v>3000000</v>
      </c>
      <c r="D51" s="575"/>
      <c r="E51" s="774">
        <f>C51+D51</f>
        <v>3000000</v>
      </c>
      <c r="F51" s="539">
        <v>3000000</v>
      </c>
    </row>
    <row r="52" spans="1:6" ht="15.75">
      <c r="A52" s="85">
        <v>2211005</v>
      </c>
      <c r="B52" s="56" t="s">
        <v>105</v>
      </c>
      <c r="C52" s="306">
        <v>3000000</v>
      </c>
      <c r="D52" s="575"/>
      <c r="E52" s="774">
        <f>C52+D52</f>
        <v>3000000</v>
      </c>
      <c r="F52" s="539">
        <v>3000000</v>
      </c>
    </row>
    <row r="53" spans="1:6" s="98" customFormat="1" ht="15.75">
      <c r="A53" s="12" t="s">
        <v>149</v>
      </c>
      <c r="B53" s="99" t="s">
        <v>150</v>
      </c>
      <c r="C53" s="306">
        <v>2000000</v>
      </c>
      <c r="D53" s="575"/>
      <c r="E53" s="774">
        <f>C53+D53</f>
        <v>2000000</v>
      </c>
      <c r="F53" s="539">
        <v>2000000</v>
      </c>
    </row>
    <row r="54" spans="1:6" ht="15.75">
      <c r="A54" s="12" t="s">
        <v>481</v>
      </c>
      <c r="B54" s="99" t="s">
        <v>482</v>
      </c>
      <c r="C54" s="306">
        <v>8000000</v>
      </c>
      <c r="D54" s="575">
        <v>20000000</v>
      </c>
      <c r="E54" s="774">
        <f>C54+D54</f>
        <v>28000000</v>
      </c>
      <c r="F54" s="846">
        <v>25000000</v>
      </c>
    </row>
    <row r="55" spans="1:6" ht="15.75">
      <c r="A55" s="140" t="s">
        <v>170</v>
      </c>
      <c r="B55" s="6"/>
      <c r="C55" s="304">
        <f>SUM(C51:C54)</f>
        <v>16000000</v>
      </c>
      <c r="D55" s="527">
        <f>SUM(D51:D54)</f>
        <v>20000000</v>
      </c>
      <c r="E55" s="477">
        <f>SUM(E51:E54)</f>
        <v>36000000</v>
      </c>
      <c r="F55" s="113">
        <f>SUM(F51:F54)</f>
        <v>33000000</v>
      </c>
    </row>
    <row r="56" spans="1:6" ht="15.75">
      <c r="A56" s="12"/>
      <c r="B56" s="101" t="s">
        <v>154</v>
      </c>
      <c r="C56" s="437"/>
      <c r="D56" s="575"/>
      <c r="E56" s="774"/>
      <c r="F56" s="105"/>
    </row>
    <row r="57" spans="1:6" ht="15.75">
      <c r="A57" s="12" t="s">
        <v>157</v>
      </c>
      <c r="B57" s="99" t="s">
        <v>158</v>
      </c>
      <c r="C57" s="437">
        <v>1000000</v>
      </c>
      <c r="D57" s="575"/>
      <c r="E57" s="774">
        <f>C57+D57</f>
        <v>1000000</v>
      </c>
      <c r="F57" s="539"/>
    </row>
    <row r="58" spans="1:6" ht="15.75">
      <c r="A58" s="12" t="s">
        <v>159</v>
      </c>
      <c r="B58" s="99" t="s">
        <v>160</v>
      </c>
      <c r="C58" s="437">
        <v>4910000</v>
      </c>
      <c r="D58" s="575"/>
      <c r="E58" s="774">
        <f>C58+D58</f>
        <v>4910000</v>
      </c>
      <c r="F58" s="539">
        <v>2500000</v>
      </c>
    </row>
    <row r="59" spans="1:6" ht="15.75">
      <c r="A59" s="140" t="s">
        <v>170</v>
      </c>
      <c r="B59" s="6"/>
      <c r="C59" s="304">
        <f>SUM(C57:C58)</f>
        <v>5910000</v>
      </c>
      <c r="D59" s="527">
        <f>SUM(D57:D58)</f>
        <v>0</v>
      </c>
      <c r="E59" s="477">
        <f>SUM(E57:E58)</f>
        <v>5910000</v>
      </c>
      <c r="F59" s="113">
        <f>SUM(F57:F58)</f>
        <v>2500000</v>
      </c>
    </row>
    <row r="60" spans="1:6" s="2" customFormat="1" ht="15.75" hidden="1">
      <c r="A60" s="179">
        <v>310000</v>
      </c>
      <c r="B60" s="64" t="s">
        <v>763</v>
      </c>
      <c r="C60" s="305"/>
      <c r="D60" s="576"/>
      <c r="E60" s="775"/>
      <c r="F60" s="420"/>
    </row>
    <row r="61" spans="1:6" s="2" customFormat="1" ht="18.75" hidden="1">
      <c r="A61" s="151"/>
      <c r="B61" s="159" t="s">
        <v>587</v>
      </c>
      <c r="C61" s="153" t="e">
        <f>'PROJECTS DETAILS'!#REF!</f>
        <v>#REF!</v>
      </c>
      <c r="D61" s="576" t="e">
        <f>'PROJECTS DETAILS'!#REF!</f>
        <v>#REF!</v>
      </c>
      <c r="E61" s="775" t="e">
        <f>C61+D61</f>
        <v>#REF!</v>
      </c>
      <c r="F61" s="420"/>
    </row>
    <row r="62" spans="1:6" s="2" customFormat="1" ht="15.75" hidden="1">
      <c r="A62" s="164" t="s">
        <v>588</v>
      </c>
      <c r="B62" s="161" t="s">
        <v>589</v>
      </c>
      <c r="C62" s="153" t="e">
        <f>'PROJECTS DETAILS'!#REF!</f>
        <v>#REF!</v>
      </c>
      <c r="D62" s="576" t="e">
        <f>'PROJECTS DETAILS'!#REF!</f>
        <v>#REF!</v>
      </c>
      <c r="E62" s="775" t="e">
        <f>C62+D62</f>
        <v>#REF!</v>
      </c>
      <c r="F62" s="420"/>
    </row>
    <row r="63" spans="1:6" s="308" customFormat="1" ht="15.75" hidden="1">
      <c r="A63" s="151">
        <v>3110502</v>
      </c>
      <c r="B63" s="56" t="s">
        <v>812</v>
      </c>
      <c r="C63" s="306" t="e">
        <f>'PROJECTS DETAILS'!#REF!</f>
        <v>#REF!</v>
      </c>
      <c r="D63" s="576" t="e">
        <f>'PROJECTS DETAILS'!#REF!</f>
        <v>#REF!</v>
      </c>
      <c r="E63" s="775" t="e">
        <f>C63+D63</f>
        <v>#REF!</v>
      </c>
      <c r="F63" s="719"/>
    </row>
    <row r="64" spans="1:6" s="2" customFormat="1" ht="15.75" hidden="1">
      <c r="A64" s="151">
        <v>3110502</v>
      </c>
      <c r="B64" s="161" t="s">
        <v>813</v>
      </c>
      <c r="C64" s="306" t="e">
        <f>'PROJECTS DETAILS'!#REF!</f>
        <v>#REF!</v>
      </c>
      <c r="D64" s="576" t="e">
        <f>'PROJECTS DETAILS'!#REF!</f>
        <v>#REF!</v>
      </c>
      <c r="E64" s="775" t="e">
        <f>C64+D64</f>
        <v>#REF!</v>
      </c>
      <c r="F64" s="420"/>
    </row>
    <row r="65" spans="1:6" s="2" customFormat="1" ht="15.75" hidden="1">
      <c r="A65" s="151">
        <v>3110502</v>
      </c>
      <c r="B65" s="161" t="s">
        <v>594</v>
      </c>
      <c r="C65" s="306" t="e">
        <f>'PROJECTS DETAILS'!#REF!</f>
        <v>#REF!</v>
      </c>
      <c r="D65" s="576" t="e">
        <f>'PROJECTS DETAILS'!#REF!</f>
        <v>#REF!</v>
      </c>
      <c r="E65" s="775" t="e">
        <f>C65+D65</f>
        <v>#REF!</v>
      </c>
      <c r="F65" s="420"/>
    </row>
    <row r="66" spans="1:6" s="2" customFormat="1" ht="15.75" hidden="1">
      <c r="A66" s="140"/>
      <c r="B66" s="292" t="s">
        <v>814</v>
      </c>
      <c r="C66" s="307" t="e">
        <f>SUM(C61:C65)</f>
        <v>#REF!</v>
      </c>
      <c r="D66" s="528" t="e">
        <f>SUM(D61:D65)</f>
        <v>#REF!</v>
      </c>
      <c r="E66" s="478"/>
      <c r="F66" s="112"/>
    </row>
    <row r="67" spans="1:6" ht="15.75">
      <c r="A67" s="140"/>
      <c r="B67" s="140" t="s">
        <v>171</v>
      </c>
      <c r="C67" s="304">
        <f>C59+C55+C49+C40+C37+C32+C28+C23+C12+C8+C18</f>
        <v>50750000</v>
      </c>
      <c r="D67" s="304">
        <f>D59+D55+D49+D40+D37+D32+D28+D23+D12+D8+D18</f>
        <v>44300000</v>
      </c>
      <c r="E67" s="304">
        <f>E59+E55+E49+E40+E37+E32+E28+E23+E12+E8+E18</f>
        <v>95050000</v>
      </c>
      <c r="F67" s="304">
        <f>F59+F55+F49+F40+F37+F32+F28+F23+F12+F8+F18</f>
        <v>82350000</v>
      </c>
    </row>
    <row r="68" spans="1:6" ht="15.75">
      <c r="A68" s="140"/>
      <c r="B68" s="140" t="s">
        <v>784</v>
      </c>
      <c r="C68" s="304">
        <f>C67</f>
        <v>50750000</v>
      </c>
      <c r="D68" s="527">
        <f>D67</f>
        <v>44300000</v>
      </c>
      <c r="E68" s="477">
        <f>E67</f>
        <v>95050000</v>
      </c>
      <c r="F68" s="113">
        <f>F67</f>
        <v>82350000</v>
      </c>
    </row>
    <row r="69" spans="1:6" ht="15.75">
      <c r="A69" s="298"/>
      <c r="B69" s="6" t="s">
        <v>790</v>
      </c>
      <c r="C69" s="307" t="e">
        <f>SUM(C66,C68)</f>
        <v>#REF!</v>
      </c>
      <c r="D69" s="528" t="e">
        <f>SUM(D66,D68)</f>
        <v>#REF!</v>
      </c>
      <c r="E69" s="478">
        <f>SUM(E66,E68)</f>
        <v>95050000</v>
      </c>
      <c r="F69" s="112">
        <f>SUM(F66,F68)</f>
        <v>82350000</v>
      </c>
    </row>
    <row r="71" ht="15.75">
      <c r="D71" s="573">
        <f>D68+'ENERGY &amp; ENV'!D104</f>
        <v>50915000</v>
      </c>
    </row>
    <row r="72" ht="15.75">
      <c r="D72" s="573">
        <f>E68+'ENERGY &amp; ENV'!E104</f>
        <v>234221579</v>
      </c>
    </row>
  </sheetData>
  <sheetProtection/>
  <mergeCells count="2">
    <mergeCell ref="A1:C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F108"/>
  <sheetViews>
    <sheetView view="pageBreakPreview" zoomScale="130" zoomScaleNormal="140" zoomScaleSheetLayoutView="130" zoomScalePageLayoutView="0" workbookViewId="0" topLeftCell="A1">
      <pane ySplit="2" topLeftCell="A81" activePane="bottomLeft" state="frozen"/>
      <selection pane="topLeft" activeCell="A1" sqref="A1"/>
      <selection pane="bottomLeft" activeCell="A92" sqref="A92:IV102"/>
    </sheetView>
  </sheetViews>
  <sheetFormatPr defaultColWidth="9.140625" defaultRowHeight="15"/>
  <cols>
    <col min="1" max="1" width="12.140625" style="209" customWidth="1"/>
    <col min="2" max="2" width="69.140625" style="1" customWidth="1"/>
    <col min="3" max="3" width="16.57421875" style="724" hidden="1" customWidth="1"/>
    <col min="4" max="4" width="18.8515625" style="573" hidden="1" customWidth="1"/>
    <col min="5" max="5" width="15.8515625" style="9" customWidth="1"/>
    <col min="6" max="6" width="23.00390625" style="826" customWidth="1"/>
  </cols>
  <sheetData>
    <row r="1" spans="1:3" ht="15.75">
      <c r="A1" s="921" t="s">
        <v>483</v>
      </c>
      <c r="B1" s="922"/>
      <c r="C1" s="929"/>
    </row>
    <row r="2" spans="1:6" s="21" customFormat="1" ht="63">
      <c r="A2" s="904" t="s">
        <v>168</v>
      </c>
      <c r="B2" s="923"/>
      <c r="C2" s="192" t="s">
        <v>996</v>
      </c>
      <c r="D2" s="490" t="s">
        <v>995</v>
      </c>
      <c r="E2" s="192" t="s">
        <v>997</v>
      </c>
      <c r="F2" s="806" t="s">
        <v>1068</v>
      </c>
    </row>
    <row r="3" spans="1:6" s="21" customFormat="1" ht="15.75">
      <c r="A3" s="200">
        <v>10601</v>
      </c>
      <c r="B3" s="200" t="s">
        <v>680</v>
      </c>
      <c r="C3" s="436"/>
      <c r="D3" s="574"/>
      <c r="E3" s="776"/>
      <c r="F3" s="827"/>
    </row>
    <row r="4" spans="1:6" s="21" customFormat="1" ht="15.75">
      <c r="A4" s="200">
        <v>2100000</v>
      </c>
      <c r="B4" s="200" t="s">
        <v>678</v>
      </c>
      <c r="C4" s="436"/>
      <c r="D4" s="574"/>
      <c r="E4" s="776"/>
      <c r="F4" s="827"/>
    </row>
    <row r="5" spans="1:6" ht="15.75">
      <c r="A5" s="135"/>
      <c r="B5" s="101" t="s">
        <v>2</v>
      </c>
      <c r="C5" s="437"/>
      <c r="D5" s="575"/>
      <c r="E5" s="777"/>
      <c r="F5" s="828"/>
    </row>
    <row r="6" spans="1:6" ht="15.75">
      <c r="A6" s="12" t="s">
        <v>0</v>
      </c>
      <c r="B6" s="5" t="s">
        <v>1</v>
      </c>
      <c r="C6" s="437">
        <v>70225301</v>
      </c>
      <c r="D6" s="575"/>
      <c r="E6" s="777">
        <f>C6+D6</f>
        <v>70225301</v>
      </c>
      <c r="F6" s="826">
        <v>73034313</v>
      </c>
    </row>
    <row r="7" spans="1:6" ht="15.75">
      <c r="A7" s="140" t="s">
        <v>170</v>
      </c>
      <c r="B7" s="6"/>
      <c r="C7" s="304">
        <f>SUM(C6)</f>
        <v>70225301</v>
      </c>
      <c r="D7" s="527">
        <f>SUM(D6)</f>
        <v>0</v>
      </c>
      <c r="E7" s="304">
        <f>SUM(E6)</f>
        <v>70225301</v>
      </c>
      <c r="F7" s="527">
        <f>SUM(F6)</f>
        <v>73034313</v>
      </c>
    </row>
    <row r="8" spans="1:6" ht="15.75">
      <c r="A8" s="12"/>
      <c r="B8" s="101" t="s">
        <v>5</v>
      </c>
      <c r="C8" s="437"/>
      <c r="D8" s="575"/>
      <c r="E8" s="777"/>
      <c r="F8" s="828"/>
    </row>
    <row r="9" spans="1:6" ht="15.75">
      <c r="A9" s="12" t="s">
        <v>3</v>
      </c>
      <c r="B9" s="99" t="s">
        <v>4</v>
      </c>
      <c r="C9" s="437">
        <v>6726993</v>
      </c>
      <c r="D9" s="575"/>
      <c r="E9" s="777">
        <f>C9+D9</f>
        <v>6726993</v>
      </c>
      <c r="F9" s="833">
        <v>6996073</v>
      </c>
    </row>
    <row r="10" spans="1:6" ht="15.75">
      <c r="A10" s="12" t="s">
        <v>10</v>
      </c>
      <c r="B10" s="99" t="s">
        <v>11</v>
      </c>
      <c r="C10" s="437">
        <v>4331555</v>
      </c>
      <c r="D10" s="575"/>
      <c r="E10" s="777">
        <f>C10+D10</f>
        <v>4331555</v>
      </c>
      <c r="F10" s="833">
        <v>4504817</v>
      </c>
    </row>
    <row r="11" spans="1:6" ht="15.75">
      <c r="A11" s="12" t="s">
        <v>12</v>
      </c>
      <c r="B11" s="99" t="s">
        <v>13</v>
      </c>
      <c r="C11" s="437">
        <v>422730</v>
      </c>
      <c r="D11" s="575"/>
      <c r="E11" s="777">
        <f>C11+D11</f>
        <v>422730</v>
      </c>
      <c r="F11" s="815">
        <v>439639</v>
      </c>
    </row>
    <row r="12" spans="1:6" ht="15.75">
      <c r="A12" s="140" t="s">
        <v>170</v>
      </c>
      <c r="B12" s="6"/>
      <c r="C12" s="304">
        <f>SUM(C9:C11)</f>
        <v>11481278</v>
      </c>
      <c r="D12" s="527">
        <f>SUM(D9:D11)</f>
        <v>0</v>
      </c>
      <c r="E12" s="304">
        <f>SUM(E9:E11)</f>
        <v>11481278</v>
      </c>
      <c r="F12" s="527">
        <f>SUM(F9:F11)</f>
        <v>11940529</v>
      </c>
    </row>
    <row r="13" spans="1:6" ht="15.75">
      <c r="A13" s="140" t="s">
        <v>173</v>
      </c>
      <c r="B13" s="6"/>
      <c r="C13" s="304">
        <f>SUM(C7,C12)</f>
        <v>81706579</v>
      </c>
      <c r="D13" s="527">
        <f>SUM(D7,D12)</f>
        <v>0</v>
      </c>
      <c r="E13" s="304">
        <f>SUM(E7,E12)</f>
        <v>81706579</v>
      </c>
      <c r="F13" s="527">
        <f>SUM(F7,F12)</f>
        <v>84974842</v>
      </c>
    </row>
    <row r="14" spans="1:6" s="2" customFormat="1" ht="15.75">
      <c r="A14" s="202">
        <v>2200000</v>
      </c>
      <c r="B14" s="64" t="s">
        <v>679</v>
      </c>
      <c r="C14" s="305"/>
      <c r="D14" s="576"/>
      <c r="E14" s="778"/>
      <c r="F14" s="828"/>
    </row>
    <row r="15" spans="1:6" ht="15.75">
      <c r="A15" s="12"/>
      <c r="B15" s="101" t="s">
        <v>21</v>
      </c>
      <c r="C15" s="437"/>
      <c r="D15" s="575"/>
      <c r="E15" s="777"/>
      <c r="F15" s="828"/>
    </row>
    <row r="16" spans="1:6" ht="15.75">
      <c r="A16" s="12" t="s">
        <v>19</v>
      </c>
      <c r="B16" s="99" t="s">
        <v>20</v>
      </c>
      <c r="C16" s="169">
        <v>200000</v>
      </c>
      <c r="D16" s="575"/>
      <c r="E16" s="777">
        <f>C16+D16</f>
        <v>200000</v>
      </c>
      <c r="F16" s="815">
        <v>150000</v>
      </c>
    </row>
    <row r="17" spans="1:6" ht="15.75">
      <c r="A17" s="12" t="s">
        <v>22</v>
      </c>
      <c r="B17" s="99" t="s">
        <v>23</v>
      </c>
      <c r="C17" s="169">
        <v>200000</v>
      </c>
      <c r="D17" s="575"/>
      <c r="E17" s="777">
        <f>C17+D17</f>
        <v>200000</v>
      </c>
      <c r="F17" s="815">
        <v>50000</v>
      </c>
    </row>
    <row r="18" spans="1:6" ht="15.75">
      <c r="A18" s="140" t="s">
        <v>170</v>
      </c>
      <c r="B18" s="6"/>
      <c r="C18" s="304">
        <f>SUM(C16:C17)</f>
        <v>400000</v>
      </c>
      <c r="D18" s="527">
        <f>SUM(D16:D17)</f>
        <v>0</v>
      </c>
      <c r="E18" s="304">
        <f>SUM(E16:E17)</f>
        <v>400000</v>
      </c>
      <c r="F18" s="527">
        <f>SUM(F16:F17)</f>
        <v>200000</v>
      </c>
    </row>
    <row r="19" spans="1:6" ht="15.75">
      <c r="A19" s="12"/>
      <c r="B19" s="101" t="s">
        <v>28</v>
      </c>
      <c r="C19" s="169"/>
      <c r="D19" s="575"/>
      <c r="E19" s="777"/>
      <c r="F19" s="828"/>
    </row>
    <row r="20" spans="1:6" ht="15.75">
      <c r="A20" s="12" t="s">
        <v>26</v>
      </c>
      <c r="B20" s="99" t="s">
        <v>27</v>
      </c>
      <c r="C20" s="169">
        <v>300000</v>
      </c>
      <c r="D20" s="575"/>
      <c r="E20" s="777">
        <f>C20+D20</f>
        <v>300000</v>
      </c>
      <c r="F20" s="815">
        <v>150000</v>
      </c>
    </row>
    <row r="21" spans="1:6" ht="15.75">
      <c r="A21" s="12" t="s">
        <v>29</v>
      </c>
      <c r="B21" s="99" t="s">
        <v>30</v>
      </c>
      <c r="C21" s="169">
        <v>500000</v>
      </c>
      <c r="D21" s="575">
        <v>-250000</v>
      </c>
      <c r="E21" s="777">
        <f>C21+D21</f>
        <v>250000</v>
      </c>
      <c r="F21" s="816">
        <v>200000</v>
      </c>
    </row>
    <row r="22" spans="1:6" ht="15.75">
      <c r="A22" s="12" t="s">
        <v>31</v>
      </c>
      <c r="B22" s="99" t="s">
        <v>32</v>
      </c>
      <c r="C22" s="169">
        <v>50000</v>
      </c>
      <c r="D22" s="575">
        <v>-30000</v>
      </c>
      <c r="E22" s="777">
        <f>C22+D22</f>
        <v>20000</v>
      </c>
      <c r="F22" s="816">
        <v>20000</v>
      </c>
    </row>
    <row r="23" spans="1:6" ht="15.75">
      <c r="A23" s="140" t="s">
        <v>170</v>
      </c>
      <c r="B23" s="6"/>
      <c r="C23" s="304">
        <f>SUM(C20:C22)</f>
        <v>850000</v>
      </c>
      <c r="D23" s="527">
        <f>SUM(D20:D22)</f>
        <v>-280000</v>
      </c>
      <c r="E23" s="304">
        <f>SUM(E20:E22)</f>
        <v>570000</v>
      </c>
      <c r="F23" s="527">
        <f>SUM(F20:F22)</f>
        <v>370000</v>
      </c>
    </row>
    <row r="24" spans="1:6" ht="15.75">
      <c r="A24" s="12"/>
      <c r="B24" s="101" t="s">
        <v>35</v>
      </c>
      <c r="C24" s="169"/>
      <c r="D24" s="575"/>
      <c r="E24" s="777"/>
      <c r="F24" s="828"/>
    </row>
    <row r="25" spans="1:6" ht="15.75">
      <c r="A25" s="12" t="s">
        <v>33</v>
      </c>
      <c r="B25" s="99" t="s">
        <v>34</v>
      </c>
      <c r="C25" s="169">
        <v>100000</v>
      </c>
      <c r="D25" s="575"/>
      <c r="E25" s="777">
        <f>C25+D25</f>
        <v>100000</v>
      </c>
      <c r="F25" s="815">
        <v>50000</v>
      </c>
    </row>
    <row r="26" spans="1:6" ht="15.75">
      <c r="A26" s="12" t="s">
        <v>36</v>
      </c>
      <c r="B26" s="99" t="s">
        <v>37</v>
      </c>
      <c r="C26" s="169">
        <v>1500000</v>
      </c>
      <c r="D26" s="575"/>
      <c r="E26" s="777">
        <f>C26+D26</f>
        <v>1500000</v>
      </c>
      <c r="F26" s="815">
        <v>500000</v>
      </c>
    </row>
    <row r="27" spans="1:6" ht="15.75">
      <c r="A27" s="12" t="s">
        <v>38</v>
      </c>
      <c r="B27" s="99" t="s">
        <v>39</v>
      </c>
      <c r="C27" s="169">
        <v>1750000</v>
      </c>
      <c r="D27" s="575"/>
      <c r="E27" s="777">
        <f>C27+D27</f>
        <v>1750000</v>
      </c>
      <c r="F27" s="815">
        <v>1200000</v>
      </c>
    </row>
    <row r="28" spans="1:6" ht="15.75">
      <c r="A28" s="12" t="s">
        <v>40</v>
      </c>
      <c r="B28" s="99" t="s">
        <v>41</v>
      </c>
      <c r="C28" s="169">
        <v>50000</v>
      </c>
      <c r="D28" s="575"/>
      <c r="E28" s="777">
        <f>C28+D28</f>
        <v>50000</v>
      </c>
      <c r="F28" s="815"/>
    </row>
    <row r="29" spans="1:6" ht="15.75">
      <c r="A29" s="12">
        <v>2210310</v>
      </c>
      <c r="B29" s="99" t="s">
        <v>484</v>
      </c>
      <c r="C29" s="169">
        <v>3000000</v>
      </c>
      <c r="D29" s="575"/>
      <c r="E29" s="777">
        <f>C29+D29</f>
        <v>3000000</v>
      </c>
      <c r="F29" s="815">
        <v>1500000</v>
      </c>
    </row>
    <row r="30" spans="1:6" ht="15.75">
      <c r="A30" s="140" t="s">
        <v>170</v>
      </c>
      <c r="B30" s="6"/>
      <c r="C30" s="304">
        <f>SUM(C25:C29)</f>
        <v>6400000</v>
      </c>
      <c r="D30" s="527">
        <f>SUM(D25:D29)</f>
        <v>0</v>
      </c>
      <c r="E30" s="304">
        <f>SUM(E25:E29)</f>
        <v>6400000</v>
      </c>
      <c r="F30" s="527">
        <f>SUM(F25:F29)</f>
        <v>3250000</v>
      </c>
    </row>
    <row r="31" spans="1:6" ht="15.75">
      <c r="A31" s="12"/>
      <c r="B31" s="101" t="s">
        <v>44</v>
      </c>
      <c r="C31" s="169"/>
      <c r="D31" s="575"/>
      <c r="E31" s="777"/>
      <c r="F31" s="828"/>
    </row>
    <row r="32" spans="1:6" ht="15.75">
      <c r="A32" s="12" t="s">
        <v>42</v>
      </c>
      <c r="B32" s="99" t="s">
        <v>43</v>
      </c>
      <c r="C32" s="169">
        <v>100000</v>
      </c>
      <c r="D32" s="575"/>
      <c r="E32" s="777">
        <f>C32+D32</f>
        <v>100000</v>
      </c>
      <c r="F32" s="815">
        <v>100000</v>
      </c>
    </row>
    <row r="33" spans="1:6" ht="15.75">
      <c r="A33" s="12" t="s">
        <v>45</v>
      </c>
      <c r="B33" s="99" t="s">
        <v>46</v>
      </c>
      <c r="C33" s="169">
        <v>500000</v>
      </c>
      <c r="D33" s="575"/>
      <c r="E33" s="777">
        <f>C33+D33</f>
        <v>500000</v>
      </c>
      <c r="F33" s="815">
        <v>400000</v>
      </c>
    </row>
    <row r="34" spans="1:6" ht="15.75">
      <c r="A34" s="12" t="s">
        <v>47</v>
      </c>
      <c r="B34" s="99" t="s">
        <v>39</v>
      </c>
      <c r="C34" s="169">
        <v>600000</v>
      </c>
      <c r="D34" s="575"/>
      <c r="E34" s="777">
        <f>C34+D34</f>
        <v>600000</v>
      </c>
      <c r="F34" s="815">
        <v>400000</v>
      </c>
    </row>
    <row r="35" spans="1:6" ht="15.75">
      <c r="A35" s="12" t="s">
        <v>48</v>
      </c>
      <c r="B35" s="99" t="s">
        <v>49</v>
      </c>
      <c r="C35" s="169">
        <v>50000</v>
      </c>
      <c r="D35" s="575"/>
      <c r="E35" s="777">
        <f>C35+D35</f>
        <v>50000</v>
      </c>
      <c r="F35" s="815"/>
    </row>
    <row r="36" spans="1:6" ht="15.75">
      <c r="A36" s="140" t="s">
        <v>170</v>
      </c>
      <c r="B36" s="6"/>
      <c r="C36" s="304">
        <f>SUM(C32:C35)</f>
        <v>1250000</v>
      </c>
      <c r="D36" s="527">
        <f>SUM(D32:D35)</f>
        <v>0</v>
      </c>
      <c r="E36" s="304">
        <f>SUM(E32:E35)</f>
        <v>1250000</v>
      </c>
      <c r="F36" s="527">
        <f>SUM(F32:F35)</f>
        <v>900000</v>
      </c>
    </row>
    <row r="37" spans="1:6" ht="15.75">
      <c r="A37" s="12"/>
      <c r="B37" s="101" t="s">
        <v>50</v>
      </c>
      <c r="C37" s="169"/>
      <c r="D37" s="575"/>
      <c r="E37" s="777"/>
      <c r="F37" s="828"/>
    </row>
    <row r="38" spans="1:6" ht="15.75">
      <c r="A38" s="12" t="s">
        <v>51</v>
      </c>
      <c r="B38" s="99" t="s">
        <v>52</v>
      </c>
      <c r="C38" s="169">
        <v>800000</v>
      </c>
      <c r="D38" s="575"/>
      <c r="E38" s="777">
        <f>C38+D38</f>
        <v>800000</v>
      </c>
      <c r="F38" s="815">
        <v>1000000</v>
      </c>
    </row>
    <row r="39" spans="1:6" ht="15.75">
      <c r="A39" s="12" t="s">
        <v>53</v>
      </c>
      <c r="B39" s="99" t="s">
        <v>54</v>
      </c>
      <c r="C39" s="169">
        <v>200000</v>
      </c>
      <c r="D39" s="575"/>
      <c r="E39" s="777">
        <f>C39+D39</f>
        <v>200000</v>
      </c>
      <c r="F39" s="815">
        <v>100000</v>
      </c>
    </row>
    <row r="40" spans="1:6" ht="15.75">
      <c r="A40" s="12" t="s">
        <v>55</v>
      </c>
      <c r="B40" s="99" t="s">
        <v>56</v>
      </c>
      <c r="C40" s="169">
        <v>10000000</v>
      </c>
      <c r="D40" s="575"/>
      <c r="E40" s="777">
        <f>C40+D40</f>
        <v>10000000</v>
      </c>
      <c r="F40" s="815">
        <v>1500000</v>
      </c>
    </row>
    <row r="41" spans="1:6" ht="15.75">
      <c r="A41" s="140" t="s">
        <v>170</v>
      </c>
      <c r="B41" s="6"/>
      <c r="C41" s="304">
        <f>SUM(C38:C40)</f>
        <v>11000000</v>
      </c>
      <c r="D41" s="527">
        <f>SUM(D38:D40)</f>
        <v>0</v>
      </c>
      <c r="E41" s="304">
        <f>SUM(E38:E40)</f>
        <v>11000000</v>
      </c>
      <c r="F41" s="527">
        <f>SUM(F38:F40)</f>
        <v>2600000</v>
      </c>
    </row>
    <row r="42" spans="1:6" ht="15.75">
      <c r="A42" s="12"/>
      <c r="B42" s="101" t="s">
        <v>59</v>
      </c>
      <c r="C42" s="169"/>
      <c r="D42" s="575"/>
      <c r="E42" s="777"/>
      <c r="F42" s="828"/>
    </row>
    <row r="43" spans="1:6" ht="15.75">
      <c r="A43" s="12" t="s">
        <v>64</v>
      </c>
      <c r="B43" s="99" t="s">
        <v>65</v>
      </c>
      <c r="C43" s="169">
        <v>100000</v>
      </c>
      <c r="D43" s="575"/>
      <c r="E43" s="777">
        <f>C43+D43</f>
        <v>100000</v>
      </c>
      <c r="F43" s="815">
        <v>100000</v>
      </c>
    </row>
    <row r="44" spans="1:6" ht="15.75">
      <c r="A44" s="12" t="s">
        <v>416</v>
      </c>
      <c r="B44" s="99" t="s">
        <v>417</v>
      </c>
      <c r="C44" s="169">
        <v>100000</v>
      </c>
      <c r="D44" s="575">
        <v>2500000</v>
      </c>
      <c r="E44" s="777">
        <f>C44+D44</f>
        <v>2600000</v>
      </c>
      <c r="F44" s="828"/>
    </row>
    <row r="45" spans="1:6" ht="15.75">
      <c r="A45" s="140" t="s">
        <v>170</v>
      </c>
      <c r="B45" s="6"/>
      <c r="C45" s="304">
        <f>SUM(C43:C44)</f>
        <v>200000</v>
      </c>
      <c r="D45" s="527">
        <f>SUM(D43:D44)</f>
        <v>2500000</v>
      </c>
      <c r="E45" s="304">
        <f>SUM(E43:E44)</f>
        <v>2700000</v>
      </c>
      <c r="F45" s="527">
        <f>SUM(F43:F44)</f>
        <v>100000</v>
      </c>
    </row>
    <row r="46" spans="1:6" ht="15.75">
      <c r="A46" s="12"/>
      <c r="B46" s="101" t="s">
        <v>68</v>
      </c>
      <c r="C46" s="169"/>
      <c r="D46" s="575"/>
      <c r="E46" s="777"/>
      <c r="F46" s="828"/>
    </row>
    <row r="47" spans="1:6" ht="15.75">
      <c r="A47" s="12" t="s">
        <v>66</v>
      </c>
      <c r="B47" s="99" t="s">
        <v>67</v>
      </c>
      <c r="C47" s="169">
        <v>100000</v>
      </c>
      <c r="D47" s="575"/>
      <c r="E47" s="777">
        <f aca="true" t="shared" si="0" ref="E47:E52">C47+D47</f>
        <v>100000</v>
      </c>
      <c r="F47" s="815">
        <v>50000</v>
      </c>
    </row>
    <row r="48" spans="1:6" ht="15.75">
      <c r="A48" s="12" t="s">
        <v>69</v>
      </c>
      <c r="B48" s="99" t="s">
        <v>70</v>
      </c>
      <c r="C48" s="169">
        <v>100000</v>
      </c>
      <c r="D48" s="575"/>
      <c r="E48" s="777">
        <f t="shared" si="0"/>
        <v>100000</v>
      </c>
      <c r="F48" s="815">
        <v>50000</v>
      </c>
    </row>
    <row r="49" spans="1:6" ht="15.75">
      <c r="A49" s="12" t="s">
        <v>71</v>
      </c>
      <c r="B49" s="99" t="s">
        <v>72</v>
      </c>
      <c r="C49" s="169">
        <v>300000</v>
      </c>
      <c r="D49" s="575">
        <v>-105000</v>
      </c>
      <c r="E49" s="777">
        <f t="shared" si="0"/>
        <v>195000</v>
      </c>
      <c r="F49" s="816">
        <v>100000</v>
      </c>
    </row>
    <row r="50" spans="1:6" ht="15.75">
      <c r="A50" s="12" t="s">
        <v>73</v>
      </c>
      <c r="B50" s="99" t="s">
        <v>74</v>
      </c>
      <c r="C50" s="169">
        <v>250000</v>
      </c>
      <c r="D50" s="575"/>
      <c r="E50" s="777">
        <f t="shared" si="0"/>
        <v>250000</v>
      </c>
      <c r="F50" s="815">
        <v>50000</v>
      </c>
    </row>
    <row r="51" spans="1:6" ht="15.75">
      <c r="A51" s="12" t="s">
        <v>75</v>
      </c>
      <c r="B51" s="99" t="s">
        <v>76</v>
      </c>
      <c r="C51" s="169">
        <v>1000000</v>
      </c>
      <c r="D51" s="575"/>
      <c r="E51" s="777">
        <f t="shared" si="0"/>
        <v>1000000</v>
      </c>
      <c r="F51" s="815">
        <v>800000</v>
      </c>
    </row>
    <row r="52" spans="1:6" ht="15.75">
      <c r="A52" s="12" t="s">
        <v>77</v>
      </c>
      <c r="B52" s="99" t="s">
        <v>78</v>
      </c>
      <c r="C52" s="169">
        <v>400000</v>
      </c>
      <c r="D52" s="575"/>
      <c r="E52" s="777">
        <f t="shared" si="0"/>
        <v>400000</v>
      </c>
      <c r="F52" s="815">
        <v>550000</v>
      </c>
    </row>
    <row r="53" spans="1:6" ht="15.75">
      <c r="A53" s="140" t="s">
        <v>170</v>
      </c>
      <c r="B53" s="6"/>
      <c r="C53" s="304">
        <f>SUM(C47:C52)</f>
        <v>2150000</v>
      </c>
      <c r="D53" s="527">
        <f>SUM(D47:D52)</f>
        <v>-105000</v>
      </c>
      <c r="E53" s="304">
        <f>SUM(E47:E52)</f>
        <v>2045000</v>
      </c>
      <c r="F53" s="527">
        <f>SUM(F47:F52)</f>
        <v>1600000</v>
      </c>
    </row>
    <row r="54" spans="1:6" ht="15.75">
      <c r="A54" s="12"/>
      <c r="B54" s="101" t="s">
        <v>84</v>
      </c>
      <c r="C54" s="169"/>
      <c r="D54" s="575"/>
      <c r="E54" s="777"/>
      <c r="F54" s="828"/>
    </row>
    <row r="55" spans="1:6" ht="15.75">
      <c r="A55" s="12" t="s">
        <v>82</v>
      </c>
      <c r="B55" s="99" t="s">
        <v>83</v>
      </c>
      <c r="C55" s="169">
        <v>1000000</v>
      </c>
      <c r="D55" s="575"/>
      <c r="E55" s="777">
        <f>C55+D55</f>
        <v>1000000</v>
      </c>
      <c r="F55" s="815">
        <v>500000</v>
      </c>
    </row>
    <row r="56" spans="1:6" ht="15.75">
      <c r="A56" s="12" t="s">
        <v>85</v>
      </c>
      <c r="B56" s="99" t="s">
        <v>86</v>
      </c>
      <c r="C56" s="169">
        <v>1000000</v>
      </c>
      <c r="D56" s="575"/>
      <c r="E56" s="777">
        <f>C56+D56</f>
        <v>1000000</v>
      </c>
      <c r="F56" s="815">
        <v>500000</v>
      </c>
    </row>
    <row r="57" spans="1:6" ht="15.75">
      <c r="A57" s="140" t="s">
        <v>170</v>
      </c>
      <c r="B57" s="6"/>
      <c r="C57" s="304">
        <f>SUM(C55:C56)</f>
        <v>2000000</v>
      </c>
      <c r="D57" s="527">
        <f>SUM(D55:D56)</f>
        <v>0</v>
      </c>
      <c r="E57" s="304">
        <f>SUM(E55:E56)</f>
        <v>2000000</v>
      </c>
      <c r="F57" s="527">
        <f>SUM(F55:F56)</f>
        <v>1000000</v>
      </c>
    </row>
    <row r="58" spans="1:6" ht="15.75">
      <c r="A58" s="12"/>
      <c r="B58" s="101" t="s">
        <v>124</v>
      </c>
      <c r="C58" s="169"/>
      <c r="D58" s="575"/>
      <c r="E58" s="777"/>
      <c r="F58" s="828"/>
    </row>
    <row r="59" spans="1:6" ht="15.75">
      <c r="A59" s="12" t="s">
        <v>122</v>
      </c>
      <c r="B59" s="99" t="s">
        <v>123</v>
      </c>
      <c r="C59" s="169">
        <v>1000000</v>
      </c>
      <c r="D59" s="575"/>
      <c r="E59" s="777">
        <f>C59+D59</f>
        <v>1000000</v>
      </c>
      <c r="F59" s="815">
        <v>700000</v>
      </c>
    </row>
    <row r="60" spans="1:6" ht="15.75">
      <c r="A60" s="12" t="s">
        <v>125</v>
      </c>
      <c r="B60" s="99" t="s">
        <v>126</v>
      </c>
      <c r="C60" s="169">
        <v>800000</v>
      </c>
      <c r="D60" s="575"/>
      <c r="E60" s="777">
        <f>C60+D60</f>
        <v>800000</v>
      </c>
      <c r="F60" s="815">
        <v>100000</v>
      </c>
    </row>
    <row r="61" spans="1:6" ht="15.75">
      <c r="A61" s="12" t="s">
        <v>127</v>
      </c>
      <c r="B61" s="99" t="s">
        <v>128</v>
      </c>
      <c r="C61" s="169">
        <v>450000</v>
      </c>
      <c r="D61" s="575"/>
      <c r="E61" s="777">
        <f>C61+D61</f>
        <v>450000</v>
      </c>
      <c r="F61" s="815">
        <v>400000</v>
      </c>
    </row>
    <row r="62" spans="1:6" ht="15.75">
      <c r="A62" s="140" t="s">
        <v>170</v>
      </c>
      <c r="B62" s="6"/>
      <c r="C62" s="304">
        <f>SUM(C59:C61)</f>
        <v>2250000</v>
      </c>
      <c r="D62" s="527">
        <f>SUM(D59:D61)</f>
        <v>0</v>
      </c>
      <c r="E62" s="304">
        <f>SUM(E59:E61)</f>
        <v>2250000</v>
      </c>
      <c r="F62" s="527">
        <f>SUM(F59:F61)</f>
        <v>1200000</v>
      </c>
    </row>
    <row r="63" spans="1:6" ht="15.75">
      <c r="A63" s="12"/>
      <c r="B63" s="101" t="s">
        <v>131</v>
      </c>
      <c r="C63" s="169"/>
      <c r="D63" s="575"/>
      <c r="E63" s="777"/>
      <c r="F63" s="828"/>
    </row>
    <row r="64" spans="1:6" ht="15.75">
      <c r="A64" s="12" t="s">
        <v>129</v>
      </c>
      <c r="B64" s="99" t="s">
        <v>130</v>
      </c>
      <c r="C64" s="169">
        <v>1000000</v>
      </c>
      <c r="D64" s="575"/>
      <c r="E64" s="777">
        <f>C64+D64</f>
        <v>1000000</v>
      </c>
      <c r="F64" s="828">
        <v>500000</v>
      </c>
    </row>
    <row r="65" spans="1:6" ht="15.75">
      <c r="A65" s="140" t="s">
        <v>170</v>
      </c>
      <c r="B65" s="6"/>
      <c r="C65" s="304">
        <f>SUM(C64:C64)</f>
        <v>1000000</v>
      </c>
      <c r="D65" s="527">
        <f>SUM(D64:D64)</f>
        <v>0</v>
      </c>
      <c r="E65" s="304">
        <f>SUM(E64:E64)</f>
        <v>1000000</v>
      </c>
      <c r="F65" s="527">
        <f>SUM(F64:F64)</f>
        <v>500000</v>
      </c>
    </row>
    <row r="66" spans="1:6" ht="15.75">
      <c r="A66" s="12"/>
      <c r="B66" s="101" t="s">
        <v>136</v>
      </c>
      <c r="C66" s="169"/>
      <c r="D66" s="575"/>
      <c r="E66" s="777"/>
      <c r="F66" s="828"/>
    </row>
    <row r="67" spans="1:6" ht="15.75">
      <c r="A67" s="12"/>
      <c r="B67" s="99" t="s">
        <v>485</v>
      </c>
      <c r="C67" s="169">
        <v>5000000</v>
      </c>
      <c r="D67" s="575"/>
      <c r="E67" s="777">
        <f aca="true" t="shared" si="1" ref="E67:E73">C67+D67</f>
        <v>5000000</v>
      </c>
      <c r="F67" s="819">
        <v>0</v>
      </c>
    </row>
    <row r="68" spans="1:6" s="507" customFormat="1" ht="20.25" customHeight="1">
      <c r="A68" s="401">
        <v>3111001</v>
      </c>
      <c r="B68" s="509" t="s">
        <v>346</v>
      </c>
      <c r="C68" s="817">
        <v>1500000</v>
      </c>
      <c r="D68" s="797">
        <f>-1500000+410000</f>
        <v>-1090000</v>
      </c>
      <c r="E68" s="818">
        <f t="shared" si="1"/>
        <v>410000</v>
      </c>
      <c r="F68" s="819">
        <v>1000000</v>
      </c>
    </row>
    <row r="69" spans="1:6" ht="15.75">
      <c r="A69" s="85" t="s">
        <v>139</v>
      </c>
      <c r="B69" s="56" t="s">
        <v>140</v>
      </c>
      <c r="C69" s="306">
        <v>100000</v>
      </c>
      <c r="D69" s="576"/>
      <c r="E69" s="778">
        <f t="shared" si="1"/>
        <v>100000</v>
      </c>
      <c r="F69" s="815">
        <v>100000</v>
      </c>
    </row>
    <row r="70" spans="1:6" ht="15.75">
      <c r="A70" s="85">
        <v>2211305</v>
      </c>
      <c r="B70" s="56" t="s">
        <v>486</v>
      </c>
      <c r="C70" s="306">
        <v>4000000</v>
      </c>
      <c r="D70" s="576">
        <v>-410000</v>
      </c>
      <c r="E70" s="778">
        <f t="shared" si="1"/>
        <v>3590000</v>
      </c>
      <c r="F70" s="815">
        <v>2000000</v>
      </c>
    </row>
    <row r="71" spans="1:6" ht="15.75">
      <c r="A71" s="85" t="s">
        <v>141</v>
      </c>
      <c r="B71" s="56" t="s">
        <v>142</v>
      </c>
      <c r="C71" s="306">
        <v>2500000</v>
      </c>
      <c r="D71" s="575"/>
      <c r="E71" s="777">
        <f t="shared" si="1"/>
        <v>2500000</v>
      </c>
      <c r="F71" s="815">
        <v>0</v>
      </c>
    </row>
    <row r="72" spans="1:6" ht="15.75">
      <c r="A72" s="85">
        <v>3111002</v>
      </c>
      <c r="B72" s="56" t="s">
        <v>479</v>
      </c>
      <c r="C72" s="306">
        <v>1000000</v>
      </c>
      <c r="D72" s="575">
        <v>-500000</v>
      </c>
      <c r="E72" s="777">
        <f t="shared" si="1"/>
        <v>500000</v>
      </c>
      <c r="F72" s="816">
        <v>1000000</v>
      </c>
    </row>
    <row r="73" spans="1:6" ht="15.75">
      <c r="A73" s="12" t="s">
        <v>137</v>
      </c>
      <c r="B73" s="99" t="s">
        <v>400</v>
      </c>
      <c r="C73" s="306">
        <v>3000000</v>
      </c>
      <c r="D73" s="575">
        <v>3000000</v>
      </c>
      <c r="E73" s="777">
        <f t="shared" si="1"/>
        <v>6000000</v>
      </c>
      <c r="F73" s="815">
        <v>2000000</v>
      </c>
    </row>
    <row r="74" spans="1:6" ht="15.75">
      <c r="A74" s="140" t="s">
        <v>170</v>
      </c>
      <c r="B74" s="6"/>
      <c r="C74" s="304">
        <f>SUM(C67:C73)</f>
        <v>17100000</v>
      </c>
      <c r="D74" s="527">
        <f>SUM(D67:D73)</f>
        <v>1000000</v>
      </c>
      <c r="E74" s="304">
        <f>SUM(E67:E73)</f>
        <v>18100000</v>
      </c>
      <c r="F74" s="527">
        <f>SUM(F67:F73)</f>
        <v>6100000</v>
      </c>
    </row>
    <row r="75" spans="1:6" ht="15.75">
      <c r="A75" s="12"/>
      <c r="B75" s="101" t="s">
        <v>151</v>
      </c>
      <c r="C75" s="169"/>
      <c r="D75" s="575"/>
      <c r="E75" s="777"/>
      <c r="F75" s="828"/>
    </row>
    <row r="76" spans="1:6" ht="15.75">
      <c r="A76" s="12" t="s">
        <v>149</v>
      </c>
      <c r="B76" s="99" t="s">
        <v>150</v>
      </c>
      <c r="C76" s="169">
        <v>700000</v>
      </c>
      <c r="D76" s="575"/>
      <c r="E76" s="777">
        <f>C76+D76</f>
        <v>700000</v>
      </c>
      <c r="F76" s="815">
        <v>300000</v>
      </c>
    </row>
    <row r="77" spans="1:6" ht="15.75">
      <c r="A77" s="140" t="s">
        <v>170</v>
      </c>
      <c r="B77" s="6"/>
      <c r="C77" s="304">
        <f>SUM(C76:C76)</f>
        <v>700000</v>
      </c>
      <c r="D77" s="527">
        <f>SUM(D76:D76)</f>
        <v>0</v>
      </c>
      <c r="E77" s="304">
        <f>SUM(E76:E76)</f>
        <v>700000</v>
      </c>
      <c r="F77" s="527">
        <f>SUM(F76:F76)</f>
        <v>300000</v>
      </c>
    </row>
    <row r="78" spans="1:6" ht="15.75">
      <c r="A78" s="12"/>
      <c r="B78" s="101" t="s">
        <v>154</v>
      </c>
      <c r="C78" s="169"/>
      <c r="D78" s="575"/>
      <c r="E78" s="777"/>
      <c r="F78" s="828"/>
    </row>
    <row r="79" spans="1:6" s="403" customFormat="1" ht="15.75">
      <c r="A79" s="12"/>
      <c r="B79" s="122" t="s">
        <v>1008</v>
      </c>
      <c r="C79" s="169"/>
      <c r="D79" s="575">
        <v>500000</v>
      </c>
      <c r="E79" s="777">
        <f>C79+D79</f>
        <v>500000</v>
      </c>
      <c r="F79" s="828"/>
    </row>
    <row r="80" spans="1:6" ht="15.75">
      <c r="A80" s="12" t="s">
        <v>157</v>
      </c>
      <c r="B80" s="99" t="s">
        <v>158</v>
      </c>
      <c r="C80" s="169">
        <v>3000000</v>
      </c>
      <c r="D80" s="575">
        <v>3000000</v>
      </c>
      <c r="E80" s="777">
        <f>C80+D80</f>
        <v>6000000</v>
      </c>
      <c r="F80" s="828">
        <v>200000</v>
      </c>
    </row>
    <row r="81" spans="1:6" ht="15.75">
      <c r="A81" s="140" t="s">
        <v>170</v>
      </c>
      <c r="B81" s="6"/>
      <c r="C81" s="304">
        <f>SUM(C79:C80)</f>
        <v>3000000</v>
      </c>
      <c r="D81" s="527">
        <f>SUM(D79:D80)</f>
        <v>3500000</v>
      </c>
      <c r="E81" s="304">
        <f>SUM(E79:E80)</f>
        <v>6500000</v>
      </c>
      <c r="F81" s="527">
        <f>SUM(F79:F80)</f>
        <v>200000</v>
      </c>
    </row>
    <row r="82" spans="1:6" s="98" customFormat="1" ht="15.75">
      <c r="A82" s="140"/>
      <c r="B82" s="6" t="s">
        <v>768</v>
      </c>
      <c r="C82" s="304">
        <f>SUM(C81,C77,C74,C65,C62,C57,C53,C45,C41,C36,C30,C23,C18)</f>
        <v>48300000</v>
      </c>
      <c r="D82" s="527">
        <f>SUM(D81,D77,D74,D65,D62,D57,D53,D45,D41,D36,D30,D23,D18)</f>
        <v>6615000</v>
      </c>
      <c r="E82" s="304">
        <f>SUM(E81,E77,E74,E65,E62,E57,E53,E45,E41,E36,E30,E23,E18)</f>
        <v>54915000</v>
      </c>
      <c r="F82" s="527">
        <f>SUM(F81,F77,F74,F65,F62,F57,F53,F45,F41,F36,F30,F23,F18)</f>
        <v>18320000</v>
      </c>
    </row>
    <row r="83" spans="1:6" s="98" customFormat="1" ht="15.75">
      <c r="A83" s="140"/>
      <c r="B83" s="6" t="s">
        <v>687</v>
      </c>
      <c r="C83" s="304">
        <f>SUM(C82,C13)</f>
        <v>130006579</v>
      </c>
      <c r="D83" s="527">
        <f>SUM(D82,D13)</f>
        <v>6615000</v>
      </c>
      <c r="E83" s="304">
        <f>SUM(E82,E13)</f>
        <v>136621579</v>
      </c>
      <c r="F83" s="527">
        <f>SUM(F82,F13)</f>
        <v>103294842</v>
      </c>
    </row>
    <row r="84" spans="1:6" s="2" customFormat="1" ht="15.75">
      <c r="A84" s="179">
        <v>10602</v>
      </c>
      <c r="B84" s="64" t="s">
        <v>725</v>
      </c>
      <c r="C84" s="305"/>
      <c r="D84" s="576"/>
      <c r="E84" s="778"/>
      <c r="F84" s="828"/>
    </row>
    <row r="85" spans="1:6" s="98" customFormat="1" ht="15.75">
      <c r="A85" s="12" t="s">
        <v>33</v>
      </c>
      <c r="B85" s="99" t="s">
        <v>34</v>
      </c>
      <c r="C85" s="169">
        <v>100000</v>
      </c>
      <c r="D85" s="575"/>
      <c r="E85" s="777">
        <f aca="true" t="shared" si="2" ref="E85:E90">C85+D85</f>
        <v>100000</v>
      </c>
      <c r="F85" s="815">
        <v>50000</v>
      </c>
    </row>
    <row r="86" spans="1:6" s="98" customFormat="1" ht="15.75">
      <c r="A86" s="12" t="s">
        <v>36</v>
      </c>
      <c r="B86" s="99" t="s">
        <v>37</v>
      </c>
      <c r="C86" s="169">
        <v>500000</v>
      </c>
      <c r="D86" s="575"/>
      <c r="E86" s="777">
        <f t="shared" si="2"/>
        <v>500000</v>
      </c>
      <c r="F86" s="815">
        <v>50000</v>
      </c>
    </row>
    <row r="87" spans="1:6" s="98" customFormat="1" ht="15.75">
      <c r="A87" s="12" t="s">
        <v>38</v>
      </c>
      <c r="B87" s="99" t="s">
        <v>39</v>
      </c>
      <c r="C87" s="169">
        <v>750000</v>
      </c>
      <c r="D87" s="575"/>
      <c r="E87" s="777">
        <f t="shared" si="2"/>
        <v>750000</v>
      </c>
      <c r="F87" s="815">
        <v>100000</v>
      </c>
    </row>
    <row r="88" spans="1:6" s="98" customFormat="1" ht="15.75">
      <c r="A88" s="12" t="s">
        <v>51</v>
      </c>
      <c r="B88" s="99" t="s">
        <v>52</v>
      </c>
      <c r="C88" s="169">
        <v>200000</v>
      </c>
      <c r="D88" s="575"/>
      <c r="E88" s="777">
        <f t="shared" si="2"/>
        <v>200000</v>
      </c>
      <c r="F88" s="815">
        <v>50000</v>
      </c>
    </row>
    <row r="89" spans="1:6" s="98" customFormat="1" ht="15.75">
      <c r="A89" s="12" t="s">
        <v>75</v>
      </c>
      <c r="B89" s="99" t="s">
        <v>76</v>
      </c>
      <c r="C89" s="169">
        <v>500000</v>
      </c>
      <c r="D89" s="575"/>
      <c r="E89" s="777">
        <f t="shared" si="2"/>
        <v>500000</v>
      </c>
      <c r="F89" s="815">
        <v>150000</v>
      </c>
    </row>
    <row r="90" spans="1:6" s="98" customFormat="1" ht="15.75">
      <c r="A90" s="12" t="s">
        <v>85</v>
      </c>
      <c r="B90" s="99" t="s">
        <v>86</v>
      </c>
      <c r="C90" s="169">
        <v>500000</v>
      </c>
      <c r="D90" s="575"/>
      <c r="E90" s="777">
        <f t="shared" si="2"/>
        <v>500000</v>
      </c>
      <c r="F90" s="815">
        <v>100000</v>
      </c>
    </row>
    <row r="91" spans="1:6" s="11" customFormat="1" ht="15.75">
      <c r="A91" s="140" t="s">
        <v>170</v>
      </c>
      <c r="B91" s="6" t="s">
        <v>808</v>
      </c>
      <c r="C91" s="304">
        <f>SUM(C85:C90)</f>
        <v>2550000</v>
      </c>
      <c r="D91" s="527">
        <f>SUM(D85:D90)</f>
        <v>0</v>
      </c>
      <c r="E91" s="304">
        <f>SUM(E85:E90)</f>
        <v>2550000</v>
      </c>
      <c r="F91" s="527">
        <f>SUM(F85:F90)</f>
        <v>500000</v>
      </c>
    </row>
    <row r="92" spans="1:6" s="701" customFormat="1" ht="15.75" hidden="1">
      <c r="A92" s="179">
        <v>310000</v>
      </c>
      <c r="B92" s="64" t="s">
        <v>763</v>
      </c>
      <c r="C92" s="305"/>
      <c r="D92" s="531"/>
      <c r="E92" s="779"/>
      <c r="F92" s="531"/>
    </row>
    <row r="93" spans="1:6" s="701" customFormat="1" ht="15.75" hidden="1">
      <c r="A93" s="151">
        <v>3110599</v>
      </c>
      <c r="B93" s="156" t="s">
        <v>583</v>
      </c>
      <c r="C93" s="725" t="e">
        <f>'PROJECTS DETAILS'!#REF!</f>
        <v>#REF!</v>
      </c>
      <c r="D93" s="531" t="e">
        <f>'PROJECTS DETAILS'!#REF!</f>
        <v>#REF!</v>
      </c>
      <c r="E93" s="780" t="e">
        <f>C93+D93</f>
        <v>#REF!</v>
      </c>
      <c r="F93" s="531"/>
    </row>
    <row r="94" spans="1:6" s="701" customFormat="1" ht="15.75" hidden="1">
      <c r="A94" s="151">
        <v>3111011</v>
      </c>
      <c r="B94" s="156" t="s">
        <v>585</v>
      </c>
      <c r="C94" s="725" t="e">
        <f>'PROJECTS DETAILS'!#REF!</f>
        <v>#REF!</v>
      </c>
      <c r="D94" s="531" t="e">
        <f>'PROJECTS DETAILS'!#REF!</f>
        <v>#REF!</v>
      </c>
      <c r="E94" s="780" t="e">
        <f>C94+D94</f>
        <v>#REF!</v>
      </c>
      <c r="F94" s="531"/>
    </row>
    <row r="95" spans="1:6" s="701" customFormat="1" ht="15.75" hidden="1">
      <c r="A95" s="179"/>
      <c r="B95" s="64" t="s">
        <v>809</v>
      </c>
      <c r="C95" s="305" t="e">
        <f>SUM(C93:C94)</f>
        <v>#REF!</v>
      </c>
      <c r="D95" s="726" t="e">
        <f>SUM(D93:D94)</f>
        <v>#REF!</v>
      </c>
      <c r="E95" s="305" t="e">
        <f>SUM(E93:E94)</f>
        <v>#REF!</v>
      </c>
      <c r="F95" s="531"/>
    </row>
    <row r="96" spans="1:6" s="701" customFormat="1" ht="15.75" hidden="1">
      <c r="A96" s="179"/>
      <c r="B96" s="64" t="s">
        <v>810</v>
      </c>
      <c r="C96" s="305" t="e">
        <f>SUM(C95,C91)</f>
        <v>#REF!</v>
      </c>
      <c r="D96" s="726" t="e">
        <f>SUM(D95,D91)</f>
        <v>#REF!</v>
      </c>
      <c r="E96" s="305" t="e">
        <f>SUM(E95,E91)</f>
        <v>#REF!</v>
      </c>
      <c r="F96" s="531"/>
    </row>
    <row r="97" spans="1:6" s="701" customFormat="1" ht="15.75" hidden="1">
      <c r="A97" s="179"/>
      <c r="B97" s="64" t="s">
        <v>807</v>
      </c>
      <c r="C97" s="305"/>
      <c r="D97" s="531"/>
      <c r="E97" s="779"/>
      <c r="F97" s="531"/>
    </row>
    <row r="98" spans="1:6" s="701" customFormat="1" ht="15.75" hidden="1">
      <c r="A98" s="179">
        <v>310000</v>
      </c>
      <c r="B98" s="64" t="s">
        <v>763</v>
      </c>
      <c r="C98" s="305"/>
      <c r="D98" s="531"/>
      <c r="E98" s="779"/>
      <c r="F98" s="531"/>
    </row>
    <row r="99" spans="1:6" s="701" customFormat="1" ht="15.75" hidden="1">
      <c r="A99" s="151">
        <v>3111305</v>
      </c>
      <c r="B99" s="727" t="s">
        <v>577</v>
      </c>
      <c r="C99" s="725" t="e">
        <f>'PROJECTS DETAILS'!#REF!</f>
        <v>#REF!</v>
      </c>
      <c r="D99" s="531" t="e">
        <f>'PROJECTS DETAILS'!#REF!</f>
        <v>#REF!</v>
      </c>
      <c r="E99" s="780" t="e">
        <f>C99+D99</f>
        <v>#REF!</v>
      </c>
      <c r="F99" s="531"/>
    </row>
    <row r="100" spans="1:6" s="701" customFormat="1" ht="15.75" hidden="1">
      <c r="A100" s="151"/>
      <c r="B100" s="727" t="s">
        <v>579</v>
      </c>
      <c r="C100" s="725" t="e">
        <f>'PROJECTS DETAILS'!#REF!</f>
        <v>#REF!</v>
      </c>
      <c r="D100" s="531" t="e">
        <f>'PROJECTS DETAILS'!#REF!</f>
        <v>#REF!</v>
      </c>
      <c r="E100" s="780" t="e">
        <f>C100+D100</f>
        <v>#REF!</v>
      </c>
      <c r="F100" s="531"/>
    </row>
    <row r="101" spans="1:6" s="701" customFormat="1" ht="15.75" hidden="1">
      <c r="A101" s="728" t="s">
        <v>580</v>
      </c>
      <c r="B101" s="56" t="s">
        <v>581</v>
      </c>
      <c r="C101" s="725" t="e">
        <f>'PROJECTS DETAILS'!#REF!</f>
        <v>#REF!</v>
      </c>
      <c r="D101" s="531" t="e">
        <f>'PROJECTS DETAILS'!#REF!</f>
        <v>#REF!</v>
      </c>
      <c r="E101" s="780" t="e">
        <f>C101+D101</f>
        <v>#REF!</v>
      </c>
      <c r="F101" s="531"/>
    </row>
    <row r="102" spans="1:6" s="289" customFormat="1" ht="15.75" hidden="1">
      <c r="A102" s="291"/>
      <c r="B102" s="6" t="s">
        <v>811</v>
      </c>
      <c r="C102" s="304" t="e">
        <f>SUM(C99:C101)</f>
        <v>#REF!</v>
      </c>
      <c r="D102" s="527" t="e">
        <f>SUM(D99:D101)</f>
        <v>#REF!</v>
      </c>
      <c r="E102" s="304" t="e">
        <f>SUM(E99:E101)</f>
        <v>#REF!</v>
      </c>
      <c r="F102" s="527">
        <f>SUM(F99:F101)</f>
        <v>0</v>
      </c>
    </row>
    <row r="103" spans="1:6" ht="15.75">
      <c r="A103" s="140"/>
      <c r="B103" s="140" t="s">
        <v>171</v>
      </c>
      <c r="C103" s="304">
        <f>SUM(C91,C82)</f>
        <v>50850000</v>
      </c>
      <c r="D103" s="527">
        <f>SUM(D91,D82)</f>
        <v>6615000</v>
      </c>
      <c r="E103" s="304">
        <f>SUM(E91,E82)</f>
        <v>57465000</v>
      </c>
      <c r="F103" s="527">
        <f>SUM(F91,F82)</f>
        <v>18820000</v>
      </c>
    </row>
    <row r="104" spans="1:6" ht="15.75">
      <c r="A104" s="140"/>
      <c r="B104" s="140" t="s">
        <v>784</v>
      </c>
      <c r="C104" s="304">
        <f>SUM(C103,C13)</f>
        <v>132556579</v>
      </c>
      <c r="D104" s="527">
        <f>SUM(D103,D13)</f>
        <v>6615000</v>
      </c>
      <c r="E104" s="304">
        <f>SUM(E103,E13)</f>
        <v>139171579</v>
      </c>
      <c r="F104" s="527">
        <f>SUM(F103,F13)</f>
        <v>103794842</v>
      </c>
    </row>
    <row r="105" spans="1:6" ht="15.75">
      <c r="A105" s="298"/>
      <c r="B105" s="6" t="s">
        <v>787</v>
      </c>
      <c r="C105" s="304" t="e">
        <f>SUM(C102,C95)</f>
        <v>#REF!</v>
      </c>
      <c r="D105" s="527" t="e">
        <f>SUM(D102,D95)</f>
        <v>#REF!</v>
      </c>
      <c r="E105" s="304"/>
      <c r="F105" s="527"/>
    </row>
    <row r="106" spans="1:6" ht="15.75">
      <c r="A106" s="298"/>
      <c r="B106" s="6" t="s">
        <v>790</v>
      </c>
      <c r="C106" s="304" t="e">
        <f>SUM(C104:C105)</f>
        <v>#REF!</v>
      </c>
      <c r="D106" s="527" t="e">
        <f>SUM(D104:D105)</f>
        <v>#REF!</v>
      </c>
      <c r="E106" s="304">
        <f>SUM(E104:E105)</f>
        <v>139171579</v>
      </c>
      <c r="F106" s="527">
        <f>SUM(F104:F105)</f>
        <v>103794842</v>
      </c>
    </row>
    <row r="107" spans="3:5" ht="15.75">
      <c r="C107" s="724">
        <v>50750000</v>
      </c>
      <c r="D107" s="573">
        <v>44300000</v>
      </c>
      <c r="E107" s="9">
        <v>95050000</v>
      </c>
    </row>
    <row r="108" spans="3:5" ht="15.75">
      <c r="C108" s="724">
        <f>C104+C107</f>
        <v>183306579</v>
      </c>
      <c r="D108" s="371">
        <f>D104+D107</f>
        <v>50915000</v>
      </c>
      <c r="E108" s="371">
        <f>E104+E107</f>
        <v>234221579</v>
      </c>
    </row>
  </sheetData>
  <sheetProtection/>
  <mergeCells count="2">
    <mergeCell ref="A1:C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G106"/>
  <sheetViews>
    <sheetView view="pageBreakPreview" zoomScale="130" zoomScaleSheetLayoutView="130" zoomScalePageLayoutView="0" workbookViewId="0" topLeftCell="A1">
      <pane ySplit="2" topLeftCell="A70" activePane="bottomLeft" state="frozen"/>
      <selection pane="topLeft" activeCell="A1" sqref="A1"/>
      <selection pane="bottomLeft" activeCell="A74" sqref="A74:IV74"/>
    </sheetView>
  </sheetViews>
  <sheetFormatPr defaultColWidth="9.140625" defaultRowHeight="15"/>
  <cols>
    <col min="1" max="1" width="10.421875" style="181" customWidth="1"/>
    <col min="2" max="2" width="66.00390625" style="0" customWidth="1"/>
    <col min="3" max="3" width="15.8515625" style="68" hidden="1" customWidth="1"/>
    <col min="4" max="4" width="20.7109375" style="573" hidden="1" customWidth="1"/>
    <col min="5" max="5" width="16.00390625" style="573" customWidth="1"/>
    <col min="6" max="6" width="24.57421875" style="502" customWidth="1"/>
    <col min="7" max="7" width="12.00390625" style="0" bestFit="1" customWidth="1"/>
  </cols>
  <sheetData>
    <row r="1" spans="1:3" ht="15.75">
      <c r="A1" s="930" t="s">
        <v>321</v>
      </c>
      <c r="B1" s="930"/>
      <c r="C1" s="96"/>
    </row>
    <row r="2" spans="1:6" s="21" customFormat="1" ht="65.25" customHeight="1">
      <c r="A2" s="917" t="s">
        <v>168</v>
      </c>
      <c r="B2" s="918"/>
      <c r="C2" s="192" t="s">
        <v>996</v>
      </c>
      <c r="D2" s="490" t="s">
        <v>995</v>
      </c>
      <c r="E2" s="561" t="s">
        <v>1066</v>
      </c>
      <c r="F2" s="783" t="s">
        <v>1068</v>
      </c>
    </row>
    <row r="3" spans="1:6" s="21" customFormat="1" ht="15.75">
      <c r="A3" s="200">
        <v>10701</v>
      </c>
      <c r="B3" s="200" t="s">
        <v>680</v>
      </c>
      <c r="C3" s="441"/>
      <c r="D3" s="574"/>
      <c r="E3" s="784"/>
      <c r="F3" s="782"/>
    </row>
    <row r="4" spans="1:6" s="21" customFormat="1" ht="15.75">
      <c r="A4" s="200">
        <v>2100000</v>
      </c>
      <c r="B4" s="200" t="s">
        <v>678</v>
      </c>
      <c r="C4" s="441"/>
      <c r="D4" s="574"/>
      <c r="E4" s="784"/>
      <c r="F4" s="782"/>
    </row>
    <row r="5" spans="1:6" ht="15.75">
      <c r="A5" s="135"/>
      <c r="B5" s="101" t="s">
        <v>2</v>
      </c>
      <c r="C5" s="442"/>
      <c r="D5" s="575"/>
      <c r="E5" s="468"/>
      <c r="F5" s="417"/>
    </row>
    <row r="6" spans="1:6" ht="15.75">
      <c r="A6" s="12" t="s">
        <v>0</v>
      </c>
      <c r="B6" s="5" t="s">
        <v>1</v>
      </c>
      <c r="C6" s="443">
        <v>340531819</v>
      </c>
      <c r="D6" s="575"/>
      <c r="E6" s="468">
        <f>C6+D6</f>
        <v>340531819</v>
      </c>
      <c r="F6" s="849">
        <v>350747773</v>
      </c>
    </row>
    <row r="7" spans="1:6" ht="15.75">
      <c r="A7" s="140" t="s">
        <v>170</v>
      </c>
      <c r="B7" s="6"/>
      <c r="C7" s="444">
        <f>SUM(C6)</f>
        <v>340531819</v>
      </c>
      <c r="D7" s="521">
        <f>SUM(D6)</f>
        <v>0</v>
      </c>
      <c r="E7" s="521">
        <f>SUM(E6)</f>
        <v>340531819</v>
      </c>
      <c r="F7" s="850">
        <f>SUM(F6)</f>
        <v>350747773</v>
      </c>
    </row>
    <row r="8" spans="1:6" ht="15.75">
      <c r="A8" s="12"/>
      <c r="B8" s="101" t="s">
        <v>5</v>
      </c>
      <c r="C8" s="443"/>
      <c r="D8" s="575"/>
      <c r="E8" s="468"/>
      <c r="F8" s="849"/>
    </row>
    <row r="9" spans="1:6" ht="15.75">
      <c r="A9" s="12" t="s">
        <v>3</v>
      </c>
      <c r="B9" s="99" t="s">
        <v>4</v>
      </c>
      <c r="C9" s="443">
        <v>56716224</v>
      </c>
      <c r="D9" s="575"/>
      <c r="E9" s="468">
        <f>C9+D9</f>
        <v>56716224</v>
      </c>
      <c r="F9" s="849">
        <v>58417710</v>
      </c>
    </row>
    <row r="10" spans="1:6" ht="15.75">
      <c r="A10" s="12" t="s">
        <v>10</v>
      </c>
      <c r="B10" s="99" t="s">
        <v>11</v>
      </c>
      <c r="C10" s="443">
        <v>25151000</v>
      </c>
      <c r="D10" s="575"/>
      <c r="E10" s="468">
        <f>C10+D10</f>
        <v>25151000</v>
      </c>
      <c r="F10" s="849">
        <v>25905530</v>
      </c>
    </row>
    <row r="11" spans="1:6" ht="15.75">
      <c r="A11" s="12" t="s">
        <v>12</v>
      </c>
      <c r="B11" s="99" t="s">
        <v>13</v>
      </c>
      <c r="C11" s="443">
        <v>12890000</v>
      </c>
      <c r="D11" s="575"/>
      <c r="E11" s="468">
        <f>C11+D11</f>
        <v>12890000</v>
      </c>
      <c r="F11" s="849">
        <v>13276700</v>
      </c>
    </row>
    <row r="12" spans="1:6" ht="15.75">
      <c r="A12" s="140" t="s">
        <v>170</v>
      </c>
      <c r="B12" s="6"/>
      <c r="C12" s="139">
        <f>SUM(C9:C11)</f>
        <v>94757224</v>
      </c>
      <c r="D12" s="521">
        <f>SUM(D9:D11)</f>
        <v>0</v>
      </c>
      <c r="E12" s="521">
        <f>SUM(E9:E11)</f>
        <v>94757224</v>
      </c>
      <c r="F12" s="521">
        <f>SUM(F9:F11)</f>
        <v>97599940</v>
      </c>
    </row>
    <row r="13" spans="1:7" ht="15.75">
      <c r="A13" s="140" t="s">
        <v>173</v>
      </c>
      <c r="B13" s="6"/>
      <c r="C13" s="139">
        <f>C7+C12</f>
        <v>435289043</v>
      </c>
      <c r="D13" s="521">
        <f>D7+D12</f>
        <v>0</v>
      </c>
      <c r="E13" s="521">
        <f>E7+E12</f>
        <v>435289043</v>
      </c>
      <c r="F13" s="521">
        <f>F7+F12</f>
        <v>448347713</v>
      </c>
      <c r="G13" s="860"/>
    </row>
    <row r="14" spans="1:6" s="2" customFormat="1" ht="15.75">
      <c r="A14" s="202">
        <v>2200000</v>
      </c>
      <c r="B14" s="64" t="s">
        <v>679</v>
      </c>
      <c r="C14" s="445"/>
      <c r="D14" s="576"/>
      <c r="E14" s="785"/>
      <c r="F14" s="417"/>
    </row>
    <row r="15" spans="1:6" ht="15.75">
      <c r="A15" s="12"/>
      <c r="B15" s="101" t="s">
        <v>21</v>
      </c>
      <c r="C15" s="446"/>
      <c r="D15" s="575"/>
      <c r="E15" s="468"/>
      <c r="F15" s="417"/>
    </row>
    <row r="16" spans="1:6" ht="15.75">
      <c r="A16" s="12" t="s">
        <v>19</v>
      </c>
      <c r="B16" s="99" t="s">
        <v>20</v>
      </c>
      <c r="C16" s="330">
        <v>50000</v>
      </c>
      <c r="D16" s="575"/>
      <c r="E16" s="468">
        <f>C16+D16</f>
        <v>50000</v>
      </c>
      <c r="F16" s="100">
        <v>50000</v>
      </c>
    </row>
    <row r="17" spans="1:6" ht="15.75">
      <c r="A17" s="12" t="s">
        <v>22</v>
      </c>
      <c r="B17" s="99" t="s">
        <v>23</v>
      </c>
      <c r="C17" s="330">
        <v>20000</v>
      </c>
      <c r="D17" s="575"/>
      <c r="E17" s="468">
        <f>C17+D17</f>
        <v>20000</v>
      </c>
      <c r="F17" s="100">
        <v>20000</v>
      </c>
    </row>
    <row r="18" spans="1:6" ht="15.75">
      <c r="A18" s="140" t="s">
        <v>170</v>
      </c>
      <c r="B18" s="6"/>
      <c r="C18" s="139">
        <f>SUM(C16:C17)</f>
        <v>70000</v>
      </c>
      <c r="D18" s="521">
        <f>SUM(D16:D17)</f>
        <v>0</v>
      </c>
      <c r="E18" s="521">
        <f>SUM(E16:E17)</f>
        <v>70000</v>
      </c>
      <c r="F18" s="521">
        <f>SUM(F16:F17)</f>
        <v>70000</v>
      </c>
    </row>
    <row r="19" spans="1:6" ht="15.75">
      <c r="A19" s="12"/>
      <c r="B19" s="101" t="s">
        <v>28</v>
      </c>
      <c r="C19" s="442"/>
      <c r="D19" s="575"/>
      <c r="E19" s="468"/>
      <c r="F19" s="417"/>
    </row>
    <row r="20" spans="1:6" ht="15.75">
      <c r="A20" s="12" t="s">
        <v>26</v>
      </c>
      <c r="B20" s="99" t="s">
        <v>27</v>
      </c>
      <c r="C20" s="330">
        <v>100000</v>
      </c>
      <c r="D20" s="575"/>
      <c r="E20" s="468">
        <f>C20+D20</f>
        <v>100000</v>
      </c>
      <c r="F20" s="100">
        <v>100000</v>
      </c>
    </row>
    <row r="21" spans="1:6" ht="15.75">
      <c r="A21" s="12" t="s">
        <v>29</v>
      </c>
      <c r="B21" s="99" t="s">
        <v>30</v>
      </c>
      <c r="C21" s="330">
        <v>50000</v>
      </c>
      <c r="D21" s="575"/>
      <c r="E21" s="468">
        <f>C21+D21</f>
        <v>50000</v>
      </c>
      <c r="F21" s="100">
        <v>50000</v>
      </c>
    </row>
    <row r="22" spans="1:6" ht="15.75">
      <c r="A22" s="12" t="s">
        <v>31</v>
      </c>
      <c r="B22" s="99" t="s">
        <v>32</v>
      </c>
      <c r="C22" s="330">
        <v>10000</v>
      </c>
      <c r="D22" s="575"/>
      <c r="E22" s="468">
        <f>C22+D22</f>
        <v>10000</v>
      </c>
      <c r="F22" s="100">
        <v>10000</v>
      </c>
    </row>
    <row r="23" spans="1:6" ht="15.75">
      <c r="A23" s="140" t="s">
        <v>170</v>
      </c>
      <c r="B23" s="6"/>
      <c r="C23" s="139">
        <f>SUM(C20:C22)</f>
        <v>160000</v>
      </c>
      <c r="D23" s="521">
        <f>SUM(D20:D22)</f>
        <v>0</v>
      </c>
      <c r="E23" s="521">
        <f>SUM(E20:E22)</f>
        <v>160000</v>
      </c>
      <c r="F23" s="521">
        <f>SUM(F20:F22)</f>
        <v>160000</v>
      </c>
    </row>
    <row r="24" spans="1:6" ht="15.75">
      <c r="A24" s="12"/>
      <c r="B24" s="101" t="s">
        <v>35</v>
      </c>
      <c r="C24" s="442"/>
      <c r="D24" s="575"/>
      <c r="E24" s="468"/>
      <c r="F24" s="417"/>
    </row>
    <row r="25" spans="1:6" ht="15.75">
      <c r="A25" s="12" t="s">
        <v>33</v>
      </c>
      <c r="B25" s="99" t="s">
        <v>34</v>
      </c>
      <c r="C25" s="330">
        <v>300000</v>
      </c>
      <c r="D25" s="575"/>
      <c r="E25" s="468">
        <f>C25+D25</f>
        <v>300000</v>
      </c>
      <c r="F25" s="100">
        <v>400000</v>
      </c>
    </row>
    <row r="26" spans="1:6" ht="15.75">
      <c r="A26" s="12" t="s">
        <v>36</v>
      </c>
      <c r="B26" s="99" t="s">
        <v>37</v>
      </c>
      <c r="C26" s="330">
        <v>3000000</v>
      </c>
      <c r="D26" s="575"/>
      <c r="E26" s="468">
        <f>C26+D26</f>
        <v>3000000</v>
      </c>
      <c r="F26" s="100">
        <v>3000000</v>
      </c>
    </row>
    <row r="27" spans="1:6" ht="15.75">
      <c r="A27" s="12" t="s">
        <v>38</v>
      </c>
      <c r="B27" s="99" t="s">
        <v>39</v>
      </c>
      <c r="C27" s="330">
        <v>2200000</v>
      </c>
      <c r="D27" s="575"/>
      <c r="E27" s="468">
        <f>C27+D27</f>
        <v>2200000</v>
      </c>
      <c r="F27" s="100">
        <v>3000000</v>
      </c>
    </row>
    <row r="28" spans="1:6" ht="15.75">
      <c r="A28" s="12" t="s">
        <v>40</v>
      </c>
      <c r="B28" s="99" t="s">
        <v>41</v>
      </c>
      <c r="C28" s="330">
        <v>50000</v>
      </c>
      <c r="D28" s="575"/>
      <c r="E28" s="468">
        <f>C28+D28</f>
        <v>50000</v>
      </c>
      <c r="F28" s="100">
        <v>50000</v>
      </c>
    </row>
    <row r="29" spans="1:6" ht="15.75">
      <c r="A29" s="140" t="s">
        <v>170</v>
      </c>
      <c r="B29" s="6"/>
      <c r="C29" s="139">
        <f>SUM(C25:C28)</f>
        <v>5550000</v>
      </c>
      <c r="D29" s="521">
        <f>SUM(D25:D28)</f>
        <v>0</v>
      </c>
      <c r="E29" s="521">
        <f>SUM(E25:E28)</f>
        <v>5550000</v>
      </c>
      <c r="F29" s="521">
        <f>SUM(F25:F28)</f>
        <v>6450000</v>
      </c>
    </row>
    <row r="30" spans="1:6" ht="15.75">
      <c r="A30" s="12"/>
      <c r="B30" s="101" t="s">
        <v>44</v>
      </c>
      <c r="C30" s="442"/>
      <c r="D30" s="575"/>
      <c r="E30" s="468"/>
      <c r="F30" s="417"/>
    </row>
    <row r="31" spans="1:6" ht="15.75">
      <c r="A31" s="12" t="s">
        <v>42</v>
      </c>
      <c r="B31" s="99" t="s">
        <v>43</v>
      </c>
      <c r="C31" s="330">
        <v>400000</v>
      </c>
      <c r="D31" s="575"/>
      <c r="E31" s="468">
        <f>C31+D31</f>
        <v>400000</v>
      </c>
      <c r="F31" s="100">
        <v>350000</v>
      </c>
    </row>
    <row r="32" spans="1:6" ht="15.75">
      <c r="A32" s="12" t="s">
        <v>45</v>
      </c>
      <c r="B32" s="99" t="s">
        <v>46</v>
      </c>
      <c r="C32" s="330">
        <v>1000000</v>
      </c>
      <c r="D32" s="575"/>
      <c r="E32" s="468">
        <f>C32+D32</f>
        <v>1000000</v>
      </c>
      <c r="F32" s="100">
        <v>200000</v>
      </c>
    </row>
    <row r="33" spans="1:6" ht="15.75">
      <c r="A33" s="85" t="s">
        <v>47</v>
      </c>
      <c r="B33" s="56" t="s">
        <v>39</v>
      </c>
      <c r="C33" s="449">
        <v>1200000</v>
      </c>
      <c r="D33" s="576">
        <v>-715000</v>
      </c>
      <c r="E33" s="785">
        <f>C33+D33</f>
        <v>485000</v>
      </c>
      <c r="F33" s="100">
        <v>400000</v>
      </c>
    </row>
    <row r="34" spans="1:6" ht="15.75">
      <c r="A34" s="140" t="s">
        <v>170</v>
      </c>
      <c r="B34" s="6"/>
      <c r="C34" s="139">
        <f>SUM(C31:C33)</f>
        <v>2600000</v>
      </c>
      <c r="D34" s="521">
        <f>SUM(D31:D33)</f>
        <v>-715000</v>
      </c>
      <c r="E34" s="521">
        <f>SUM(E31:E33)</f>
        <v>1885000</v>
      </c>
      <c r="F34" s="521">
        <f>SUM(F31:F33)</f>
        <v>950000</v>
      </c>
    </row>
    <row r="35" spans="1:6" ht="15.75">
      <c r="A35" s="12"/>
      <c r="B35" s="101" t="s">
        <v>50</v>
      </c>
      <c r="C35" s="442"/>
      <c r="D35" s="575"/>
      <c r="E35" s="468"/>
      <c r="F35" s="417"/>
    </row>
    <row r="36" spans="1:6" ht="15.75">
      <c r="A36" s="85" t="s">
        <v>51</v>
      </c>
      <c r="B36" s="56" t="s">
        <v>52</v>
      </c>
      <c r="C36" s="449">
        <v>100000</v>
      </c>
      <c r="D36" s="576">
        <f>2494000-100000</f>
        <v>2394000</v>
      </c>
      <c r="E36" s="785">
        <f>C36+D36</f>
        <v>2494000</v>
      </c>
      <c r="F36" s="832">
        <v>100000</v>
      </c>
    </row>
    <row r="37" spans="1:6" ht="15.75">
      <c r="A37" s="85" t="s">
        <v>53</v>
      </c>
      <c r="B37" s="56" t="s">
        <v>54</v>
      </c>
      <c r="C37" s="449">
        <v>100000</v>
      </c>
      <c r="D37" s="576"/>
      <c r="E37" s="785">
        <f>C37+D37</f>
        <v>100000</v>
      </c>
      <c r="F37" s="832">
        <v>100000</v>
      </c>
    </row>
    <row r="38" spans="1:6" ht="15.75">
      <c r="A38" s="85" t="s">
        <v>55</v>
      </c>
      <c r="B38" s="56" t="s">
        <v>56</v>
      </c>
      <c r="C38" s="449">
        <v>200000</v>
      </c>
      <c r="D38" s="576"/>
      <c r="E38" s="785">
        <f>C38+D38</f>
        <v>200000</v>
      </c>
      <c r="F38" s="832">
        <v>100000</v>
      </c>
    </row>
    <row r="39" spans="1:6" ht="15.75">
      <c r="A39" s="85" t="s">
        <v>57</v>
      </c>
      <c r="B39" s="56" t="s">
        <v>58</v>
      </c>
      <c r="C39" s="449">
        <v>200000</v>
      </c>
      <c r="D39" s="576">
        <f>-200000+100000</f>
        <v>-100000</v>
      </c>
      <c r="E39" s="785">
        <f>C39+D39</f>
        <v>100000</v>
      </c>
      <c r="F39" s="832">
        <v>200000</v>
      </c>
    </row>
    <row r="40" spans="1:6" ht="15.75">
      <c r="A40" s="140" t="s">
        <v>170</v>
      </c>
      <c r="B40" s="6"/>
      <c r="C40" s="139">
        <f>SUM(C36:C39)</f>
        <v>600000</v>
      </c>
      <c r="D40" s="521">
        <f>SUM(D36:D39)</f>
        <v>2294000</v>
      </c>
      <c r="E40" s="521">
        <f>SUM(E36:E39)</f>
        <v>2894000</v>
      </c>
      <c r="F40" s="521">
        <f>SUM(F36:F39)</f>
        <v>500000</v>
      </c>
    </row>
    <row r="41" spans="1:6" ht="15.75">
      <c r="A41" s="12"/>
      <c r="B41" s="101" t="s">
        <v>59</v>
      </c>
      <c r="C41" s="442"/>
      <c r="D41" s="575"/>
      <c r="E41" s="468"/>
      <c r="F41" s="417"/>
    </row>
    <row r="42" spans="1:6" ht="15.75">
      <c r="A42" s="12" t="s">
        <v>64</v>
      </c>
      <c r="B42" s="99" t="s">
        <v>65</v>
      </c>
      <c r="C42" s="452">
        <v>1000000</v>
      </c>
      <c r="D42" s="575"/>
      <c r="E42" s="468">
        <f>C42+D42</f>
        <v>1000000</v>
      </c>
      <c r="F42" s="845">
        <v>1000000</v>
      </c>
    </row>
    <row r="43" spans="1:6" ht="15.75">
      <c r="A43" s="140" t="s">
        <v>170</v>
      </c>
      <c r="B43" s="6"/>
      <c r="C43" s="139">
        <f>SUM(C42:C42)</f>
        <v>1000000</v>
      </c>
      <c r="D43" s="521">
        <f>SUM(D42:D42)</f>
        <v>0</v>
      </c>
      <c r="E43" s="521">
        <f>SUM(E42:E42)</f>
        <v>1000000</v>
      </c>
      <c r="F43" s="521">
        <f>SUM(F42:F42)</f>
        <v>1000000</v>
      </c>
    </row>
    <row r="44" spans="1:6" ht="15.75">
      <c r="A44" s="12"/>
      <c r="B44" s="101" t="s">
        <v>68</v>
      </c>
      <c r="C44" s="442"/>
      <c r="D44" s="575"/>
      <c r="E44" s="468"/>
      <c r="F44" s="417"/>
    </row>
    <row r="45" spans="1:6" ht="15.75">
      <c r="A45" s="12" t="s">
        <v>66</v>
      </c>
      <c r="B45" s="99" t="s">
        <v>67</v>
      </c>
      <c r="C45" s="449">
        <v>500000</v>
      </c>
      <c r="D45" s="575"/>
      <c r="E45" s="468">
        <f>C45+D45</f>
        <v>500000</v>
      </c>
      <c r="F45" s="832">
        <v>400000</v>
      </c>
    </row>
    <row r="46" spans="1:6" ht="15.75">
      <c r="A46" s="12" t="s">
        <v>75</v>
      </c>
      <c r="B46" s="99" t="s">
        <v>76</v>
      </c>
      <c r="C46" s="449">
        <v>1000000</v>
      </c>
      <c r="D46" s="575"/>
      <c r="E46" s="468">
        <f>C46+D46</f>
        <v>1000000</v>
      </c>
      <c r="F46" s="832">
        <v>1000000</v>
      </c>
    </row>
    <row r="47" spans="1:6" ht="15.75">
      <c r="A47" s="12" t="s">
        <v>80</v>
      </c>
      <c r="B47" s="99" t="s">
        <v>81</v>
      </c>
      <c r="C47" s="449">
        <v>500000</v>
      </c>
      <c r="D47" s="575"/>
      <c r="E47" s="468">
        <f>C47+D47</f>
        <v>500000</v>
      </c>
      <c r="F47" s="832">
        <v>1000000</v>
      </c>
    </row>
    <row r="48" spans="1:6" s="504" customFormat="1" ht="15.75">
      <c r="A48" s="506" t="s">
        <v>69</v>
      </c>
      <c r="B48" s="505" t="s">
        <v>70</v>
      </c>
      <c r="C48" s="449"/>
      <c r="D48" s="808"/>
      <c r="E48" s="468"/>
      <c r="F48" s="833">
        <v>1200000</v>
      </c>
    </row>
    <row r="49" spans="1:6" s="504" customFormat="1" ht="15.75">
      <c r="A49" s="506" t="s">
        <v>71</v>
      </c>
      <c r="B49" s="505" t="s">
        <v>72</v>
      </c>
      <c r="C49" s="449"/>
      <c r="D49" s="808"/>
      <c r="E49" s="468"/>
      <c r="F49" s="832">
        <v>100000</v>
      </c>
    </row>
    <row r="50" spans="1:6" s="504" customFormat="1" ht="15.75">
      <c r="A50" s="506" t="s">
        <v>73</v>
      </c>
      <c r="B50" s="505" t="s">
        <v>74</v>
      </c>
      <c r="C50" s="449"/>
      <c r="D50" s="808"/>
      <c r="E50" s="468"/>
      <c r="F50" s="105">
        <v>100000</v>
      </c>
    </row>
    <row r="51" spans="1:6" ht="15.75">
      <c r="A51" s="12" t="s">
        <v>77</v>
      </c>
      <c r="B51" s="99" t="s">
        <v>78</v>
      </c>
      <c r="C51" s="330">
        <v>200000</v>
      </c>
      <c r="D51" s="575">
        <v>1000000</v>
      </c>
      <c r="E51" s="468">
        <f>C51+D51</f>
        <v>1200000</v>
      </c>
      <c r="F51" s="100">
        <v>1300000</v>
      </c>
    </row>
    <row r="52" spans="1:6" ht="15.75">
      <c r="A52" s="140" t="s">
        <v>170</v>
      </c>
      <c r="B52" s="6"/>
      <c r="C52" s="139">
        <f>SUM(C45:C51)</f>
        <v>2200000</v>
      </c>
      <c r="D52" s="521">
        <f>SUM(D45:D51)</f>
        <v>1000000</v>
      </c>
      <c r="E52" s="521">
        <f>SUM(E45:E51)</f>
        <v>3200000</v>
      </c>
      <c r="F52" s="521">
        <f>SUM(F45:F51)</f>
        <v>5100000</v>
      </c>
    </row>
    <row r="53" spans="1:6" ht="15.75">
      <c r="A53" s="12"/>
      <c r="B53" s="101" t="s">
        <v>84</v>
      </c>
      <c r="C53" s="442"/>
      <c r="D53" s="575"/>
      <c r="E53" s="468"/>
      <c r="F53" s="417"/>
    </row>
    <row r="54" spans="1:6" ht="15.75">
      <c r="A54" s="12" t="s">
        <v>82</v>
      </c>
      <c r="B54" s="99" t="s">
        <v>83</v>
      </c>
      <c r="C54" s="330">
        <v>100000</v>
      </c>
      <c r="D54" s="575"/>
      <c r="E54" s="468">
        <f>C54+D54</f>
        <v>100000</v>
      </c>
      <c r="F54" s="105">
        <v>50000</v>
      </c>
    </row>
    <row r="55" spans="1:6" ht="15.75">
      <c r="A55" s="12" t="s">
        <v>85</v>
      </c>
      <c r="B55" s="99" t="s">
        <v>86</v>
      </c>
      <c r="C55" s="330">
        <v>700000</v>
      </c>
      <c r="D55" s="575"/>
      <c r="E55" s="468">
        <f>C55+D55</f>
        <v>700000</v>
      </c>
      <c r="F55" s="105">
        <v>900000</v>
      </c>
    </row>
    <row r="56" spans="1:6" ht="15.75">
      <c r="A56" s="12" t="s">
        <v>87</v>
      </c>
      <c r="B56" s="99" t="s">
        <v>444</v>
      </c>
      <c r="C56" s="449">
        <v>2000000</v>
      </c>
      <c r="D56" s="575"/>
      <c r="E56" s="468">
        <f>C56+D56</f>
        <v>2000000</v>
      </c>
      <c r="F56" s="105">
        <v>500000</v>
      </c>
    </row>
    <row r="57" spans="1:6" ht="15.75">
      <c r="A57" s="12" t="s">
        <v>445</v>
      </c>
      <c r="B57" s="99" t="s">
        <v>446</v>
      </c>
      <c r="C57" s="449">
        <v>1000000</v>
      </c>
      <c r="D57" s="575"/>
      <c r="E57" s="468">
        <f>C57+D57</f>
        <v>1000000</v>
      </c>
      <c r="F57" s="105">
        <v>500000</v>
      </c>
    </row>
    <row r="58" spans="1:6" ht="15.75">
      <c r="A58" s="140" t="s">
        <v>170</v>
      </c>
      <c r="B58" s="6"/>
      <c r="C58" s="139">
        <f>SUM(C54:C57)</f>
        <v>3800000</v>
      </c>
      <c r="D58" s="521">
        <f>SUM(D54:D57)</f>
        <v>0</v>
      </c>
      <c r="E58" s="521">
        <f>SUM(E54:E57)</f>
        <v>3800000</v>
      </c>
      <c r="F58" s="521">
        <f>SUM(F54:F57)</f>
        <v>1950000</v>
      </c>
    </row>
    <row r="59" spans="1:6" ht="15.75">
      <c r="A59" s="12"/>
      <c r="B59" s="101" t="s">
        <v>124</v>
      </c>
      <c r="C59" s="442"/>
      <c r="D59" s="575"/>
      <c r="E59" s="468"/>
      <c r="F59" s="417"/>
    </row>
    <row r="60" spans="1:6" ht="15.75">
      <c r="A60" s="85">
        <v>2211101</v>
      </c>
      <c r="B60" s="56" t="s">
        <v>123</v>
      </c>
      <c r="C60" s="449">
        <v>600000</v>
      </c>
      <c r="D60" s="576">
        <f>3300000-150000</f>
        <v>3150000</v>
      </c>
      <c r="E60" s="785">
        <f>C60+D60</f>
        <v>3750000</v>
      </c>
      <c r="F60" s="832">
        <v>600000</v>
      </c>
    </row>
    <row r="61" spans="1:6" ht="15.75">
      <c r="A61" s="85" t="s">
        <v>125</v>
      </c>
      <c r="B61" s="56" t="s">
        <v>126</v>
      </c>
      <c r="C61" s="449">
        <v>200000</v>
      </c>
      <c r="D61" s="576">
        <v>150000</v>
      </c>
      <c r="E61" s="785">
        <f>C61+D61</f>
        <v>350000</v>
      </c>
      <c r="F61" s="100">
        <v>200000</v>
      </c>
    </row>
    <row r="62" spans="1:6" ht="15.75">
      <c r="A62" s="12" t="s">
        <v>127</v>
      </c>
      <c r="B62" s="99" t="s">
        <v>128</v>
      </c>
      <c r="C62" s="330">
        <v>50000</v>
      </c>
      <c r="D62" s="575">
        <v>239000</v>
      </c>
      <c r="E62" s="468">
        <f>C62+D62</f>
        <v>289000</v>
      </c>
      <c r="F62" s="100">
        <v>50000</v>
      </c>
    </row>
    <row r="63" spans="1:6" ht="15.75">
      <c r="A63" s="140" t="s">
        <v>170</v>
      </c>
      <c r="B63" s="6"/>
      <c r="C63" s="139">
        <f>SUM(C60:C62)</f>
        <v>850000</v>
      </c>
      <c r="D63" s="521">
        <f>SUM(D60:D62)</f>
        <v>3539000</v>
      </c>
      <c r="E63" s="521">
        <f>SUM(E60:E62)</f>
        <v>4389000</v>
      </c>
      <c r="F63" s="521">
        <f>SUM(F60:F62)</f>
        <v>850000</v>
      </c>
    </row>
    <row r="64" spans="1:6" s="106" customFormat="1" ht="15.75">
      <c r="A64" s="931" t="s">
        <v>447</v>
      </c>
      <c r="B64" s="932"/>
      <c r="C64" s="453"/>
      <c r="D64" s="576"/>
      <c r="E64" s="785"/>
      <c r="F64" s="417"/>
    </row>
    <row r="65" spans="1:6" s="106" customFormat="1" ht="15.75">
      <c r="A65" s="85" t="s">
        <v>125</v>
      </c>
      <c r="B65" s="56" t="s">
        <v>126</v>
      </c>
      <c r="C65" s="449">
        <v>5000000</v>
      </c>
      <c r="D65" s="576"/>
      <c r="E65" s="785">
        <f aca="true" t="shared" si="0" ref="E65:F68">C65+D65</f>
        <v>5000000</v>
      </c>
      <c r="F65" s="785">
        <v>3500000</v>
      </c>
    </row>
    <row r="66" spans="1:6" s="106" customFormat="1" ht="15.75">
      <c r="A66" s="85" t="s">
        <v>19</v>
      </c>
      <c r="B66" s="56" t="s">
        <v>20</v>
      </c>
      <c r="C66" s="449">
        <v>500000</v>
      </c>
      <c r="D66" s="576"/>
      <c r="E66" s="785">
        <f t="shared" si="0"/>
        <v>500000</v>
      </c>
      <c r="F66" s="785">
        <f t="shared" si="0"/>
        <v>500000</v>
      </c>
    </row>
    <row r="67" spans="1:6" s="106" customFormat="1" ht="15.75">
      <c r="A67" s="85" t="s">
        <v>29</v>
      </c>
      <c r="B67" s="56" t="s">
        <v>30</v>
      </c>
      <c r="C67" s="449">
        <v>500000</v>
      </c>
      <c r="D67" s="576"/>
      <c r="E67" s="785">
        <f t="shared" si="0"/>
        <v>500000</v>
      </c>
      <c r="F67" s="785">
        <f t="shared" si="0"/>
        <v>500000</v>
      </c>
    </row>
    <row r="68" spans="1:6" s="106" customFormat="1" ht="15.75">
      <c r="A68" s="143">
        <v>2210604</v>
      </c>
      <c r="B68" s="56" t="s">
        <v>65</v>
      </c>
      <c r="C68" s="449">
        <v>500000</v>
      </c>
      <c r="D68" s="576">
        <v>500000</v>
      </c>
      <c r="E68" s="785">
        <f t="shared" si="0"/>
        <v>1000000</v>
      </c>
      <c r="F68" s="785">
        <v>1000000</v>
      </c>
    </row>
    <row r="69" spans="1:6" ht="15.75">
      <c r="A69" s="140" t="s">
        <v>170</v>
      </c>
      <c r="B69" s="6"/>
      <c r="C69" s="139">
        <f>SUM(C65:C68)</f>
        <v>6500000</v>
      </c>
      <c r="D69" s="521">
        <f>SUM(D65:D68)</f>
        <v>500000</v>
      </c>
      <c r="E69" s="521">
        <f>SUM(E65:E68)</f>
        <v>7000000</v>
      </c>
      <c r="F69" s="521">
        <f>SUM(F65:F68)</f>
        <v>5500000</v>
      </c>
    </row>
    <row r="70" spans="1:6" ht="15.75">
      <c r="A70" s="12"/>
      <c r="B70" s="101" t="s">
        <v>131</v>
      </c>
      <c r="C70" s="442"/>
      <c r="D70" s="575"/>
      <c r="E70" s="468"/>
      <c r="F70" s="417"/>
    </row>
    <row r="71" spans="1:6" ht="15.75">
      <c r="A71" s="12" t="s">
        <v>129</v>
      </c>
      <c r="B71" s="99" t="s">
        <v>130</v>
      </c>
      <c r="C71" s="449">
        <v>1000000</v>
      </c>
      <c r="D71" s="575"/>
      <c r="E71" s="468">
        <f>C71+D71</f>
        <v>1000000</v>
      </c>
      <c r="F71" s="832">
        <v>700000</v>
      </c>
    </row>
    <row r="72" spans="1:6" ht="15.75">
      <c r="A72" s="140" t="s">
        <v>170</v>
      </c>
      <c r="B72" s="6"/>
      <c r="C72" s="139">
        <f>SUM(C71)</f>
        <v>1000000</v>
      </c>
      <c r="D72" s="521">
        <f>SUM(D71)</f>
        <v>0</v>
      </c>
      <c r="E72" s="521">
        <f>SUM(E71)</f>
        <v>1000000</v>
      </c>
      <c r="F72" s="521">
        <f>SUM(F71)</f>
        <v>700000</v>
      </c>
    </row>
    <row r="73" spans="1:6" ht="15.75">
      <c r="A73" s="12"/>
      <c r="B73" s="101" t="s">
        <v>136</v>
      </c>
      <c r="C73" s="442"/>
      <c r="D73" s="575"/>
      <c r="E73" s="468"/>
      <c r="F73" s="417"/>
    </row>
    <row r="74" spans="1:6" ht="15.75">
      <c r="A74" s="190">
        <v>2211303</v>
      </c>
      <c r="B74" s="56" t="s">
        <v>448</v>
      </c>
      <c r="C74" s="449">
        <v>500000</v>
      </c>
      <c r="D74" s="575">
        <v>-500000</v>
      </c>
      <c r="E74" s="468">
        <f aca="true" t="shared" si="1" ref="E74:E79">C74+D74</f>
        <v>0</v>
      </c>
      <c r="F74" s="834">
        <v>500000</v>
      </c>
    </row>
    <row r="75" spans="1:6" ht="15.75">
      <c r="A75" s="12">
        <v>3111002</v>
      </c>
      <c r="B75" s="56" t="s">
        <v>203</v>
      </c>
      <c r="C75" s="449">
        <v>500000</v>
      </c>
      <c r="D75" s="575"/>
      <c r="E75" s="468">
        <f t="shared" si="1"/>
        <v>500000</v>
      </c>
      <c r="F75" s="828">
        <v>500000</v>
      </c>
    </row>
    <row r="76" spans="1:6" ht="15.75">
      <c r="A76" s="12" t="s">
        <v>449</v>
      </c>
      <c r="B76" s="56" t="s">
        <v>450</v>
      </c>
      <c r="C76" s="448">
        <v>10000000</v>
      </c>
      <c r="D76" s="575"/>
      <c r="E76" s="468">
        <f t="shared" si="1"/>
        <v>10000000</v>
      </c>
      <c r="F76" s="828">
        <v>10000000</v>
      </c>
    </row>
    <row r="77" spans="1:6" ht="15.75">
      <c r="A77" s="12"/>
      <c r="B77" s="56" t="s">
        <v>451</v>
      </c>
      <c r="C77" s="448">
        <v>135000000</v>
      </c>
      <c r="D77" s="575"/>
      <c r="E77" s="468">
        <f t="shared" si="1"/>
        <v>135000000</v>
      </c>
      <c r="F77" s="828">
        <v>135000000</v>
      </c>
    </row>
    <row r="78" spans="1:6" ht="15.75">
      <c r="A78" s="12" t="s">
        <v>147</v>
      </c>
      <c r="B78" s="56" t="s">
        <v>148</v>
      </c>
      <c r="C78" s="449">
        <v>20000</v>
      </c>
      <c r="D78" s="575"/>
      <c r="E78" s="468">
        <f t="shared" si="1"/>
        <v>20000</v>
      </c>
      <c r="F78" s="828">
        <v>20000</v>
      </c>
    </row>
    <row r="79" spans="1:6" s="502" customFormat="1" ht="15.75">
      <c r="A79" s="85" t="s">
        <v>452</v>
      </c>
      <c r="B79" s="56" t="s">
        <v>453</v>
      </c>
      <c r="C79" s="449">
        <v>2000000</v>
      </c>
      <c r="D79" s="576">
        <f>-1000000+715000</f>
        <v>-285000</v>
      </c>
      <c r="E79" s="785">
        <f t="shared" si="1"/>
        <v>1715000</v>
      </c>
      <c r="F79" s="828">
        <v>800000</v>
      </c>
    </row>
    <row r="80" spans="1:6" ht="15.75">
      <c r="A80" s="140" t="s">
        <v>170</v>
      </c>
      <c r="B80" s="6"/>
      <c r="C80" s="139">
        <f>SUM(C74:C79)</f>
        <v>148020000</v>
      </c>
      <c r="D80" s="521">
        <f>SUM(D74:D79)</f>
        <v>-785000</v>
      </c>
      <c r="E80" s="521">
        <f>SUM(E74:E79)</f>
        <v>147235000</v>
      </c>
      <c r="F80" s="521">
        <f>SUM(F74:F79)</f>
        <v>146820000</v>
      </c>
    </row>
    <row r="81" spans="1:6" ht="15.75">
      <c r="A81" s="12"/>
      <c r="B81" s="101" t="s">
        <v>151</v>
      </c>
      <c r="C81" s="442"/>
      <c r="D81" s="575"/>
      <c r="E81" s="468"/>
      <c r="F81" s="417"/>
    </row>
    <row r="82" spans="1:6" ht="15.75">
      <c r="A82" s="12" t="s">
        <v>149</v>
      </c>
      <c r="B82" s="99" t="s">
        <v>150</v>
      </c>
      <c r="C82" s="330">
        <v>500000</v>
      </c>
      <c r="D82" s="575"/>
      <c r="E82" s="468">
        <f>C82+D82</f>
        <v>500000</v>
      </c>
      <c r="F82" s="845">
        <v>500000</v>
      </c>
    </row>
    <row r="83" spans="1:6" ht="15.75">
      <c r="A83" s="140" t="s">
        <v>170</v>
      </c>
      <c r="B83" s="6"/>
      <c r="C83" s="139">
        <f>SUM(C82)</f>
        <v>500000</v>
      </c>
      <c r="D83" s="521">
        <f>SUM(D82)</f>
        <v>0</v>
      </c>
      <c r="E83" s="521">
        <f>SUM(E82)</f>
        <v>500000</v>
      </c>
      <c r="F83" s="521">
        <f>SUM(F82)</f>
        <v>500000</v>
      </c>
    </row>
    <row r="84" spans="1:6" ht="15.75">
      <c r="A84" s="12"/>
      <c r="B84" s="101" t="s">
        <v>154</v>
      </c>
      <c r="C84" s="442"/>
      <c r="D84" s="575"/>
      <c r="E84" s="468"/>
      <c r="F84" s="417"/>
    </row>
    <row r="85" spans="1:6" ht="15.75">
      <c r="A85" s="12" t="s">
        <v>155</v>
      </c>
      <c r="B85" s="99" t="s">
        <v>156</v>
      </c>
      <c r="C85" s="330">
        <v>200000</v>
      </c>
      <c r="D85" s="575">
        <v>-200000</v>
      </c>
      <c r="E85" s="468">
        <f>C85+D85</f>
        <v>0</v>
      </c>
      <c r="F85" s="100"/>
    </row>
    <row r="86" spans="1:6" ht="15.75">
      <c r="A86" s="12" t="s">
        <v>157</v>
      </c>
      <c r="B86" s="99" t="s">
        <v>158</v>
      </c>
      <c r="C86" s="449">
        <v>100000</v>
      </c>
      <c r="D86" s="575">
        <v>-100000</v>
      </c>
      <c r="E86" s="468">
        <f>C86+D86</f>
        <v>0</v>
      </c>
      <c r="F86" s="832">
        <v>1000000</v>
      </c>
    </row>
    <row r="87" spans="1:6" ht="15.75">
      <c r="A87" s="140" t="s">
        <v>170</v>
      </c>
      <c r="B87" s="6"/>
      <c r="C87" s="139">
        <f>SUM(C85:C86)</f>
        <v>300000</v>
      </c>
      <c r="D87" s="521">
        <f>SUM(D85:D86)</f>
        <v>-300000</v>
      </c>
      <c r="E87" s="521">
        <f>SUM(E85:E86)</f>
        <v>0</v>
      </c>
      <c r="F87" s="521">
        <f>SUM(F85:F86)</f>
        <v>1000000</v>
      </c>
    </row>
    <row r="88" spans="1:6" s="106" customFormat="1" ht="15.75">
      <c r="A88" s="179"/>
      <c r="B88" s="56" t="s">
        <v>454</v>
      </c>
      <c r="C88" s="449">
        <v>0</v>
      </c>
      <c r="D88" s="576">
        <v>600000</v>
      </c>
      <c r="E88" s="785">
        <f>C88+D88</f>
        <v>600000</v>
      </c>
      <c r="F88" s="828">
        <v>1200000</v>
      </c>
    </row>
    <row r="89" spans="1:6" ht="15.75">
      <c r="A89" s="140" t="s">
        <v>170</v>
      </c>
      <c r="B89" s="14"/>
      <c r="C89" s="139">
        <f>SUM(C88:C88)</f>
        <v>0</v>
      </c>
      <c r="D89" s="521">
        <f>SUM(D88:D88)</f>
        <v>600000</v>
      </c>
      <c r="E89" s="521">
        <f>SUM(E88:E88)</f>
        <v>600000</v>
      </c>
      <c r="F89" s="521">
        <f>SUM(F88:F88)</f>
        <v>1200000</v>
      </c>
    </row>
    <row r="90" spans="1:6" s="11" customFormat="1" ht="31.5">
      <c r="A90" s="140"/>
      <c r="B90" s="318" t="s">
        <v>768</v>
      </c>
      <c r="C90" s="447">
        <f>SUM(C89,C87,C83,C80,C72,C63,C69,C58,C52,C43,C40,C34,C29,C23,C18,)</f>
        <v>173150000</v>
      </c>
      <c r="D90" s="523">
        <f>SUM(D89,D87,D83,D80,D72,D63,D69,D58,D52,D43,D40,D34,D29,D23,D18,)</f>
        <v>6133000</v>
      </c>
      <c r="E90" s="523">
        <f>SUM(E89,E87,E83,E80,E72,E63,E69,E58,E52,E43,E40,E34,E29,E23,E18,)</f>
        <v>179283000</v>
      </c>
      <c r="F90" s="523">
        <f>SUM(F89,F87,F83,F80,F72,F63,F69,F58,F52,F43,F40,F34,F29,F23,F18,)</f>
        <v>172750000</v>
      </c>
    </row>
    <row r="91" spans="1:6" s="11" customFormat="1" ht="31.5">
      <c r="A91" s="140"/>
      <c r="B91" s="318" t="s">
        <v>861</v>
      </c>
      <c r="C91" s="447">
        <f>SUM(C90,C13)</f>
        <v>608439043</v>
      </c>
      <c r="D91" s="523">
        <f>SUM(D90,D13)</f>
        <v>6133000</v>
      </c>
      <c r="E91" s="523">
        <f>SUM(E90,E13)</f>
        <v>614572043</v>
      </c>
      <c r="F91" s="523">
        <f>SUM(F90,F13)</f>
        <v>621097713</v>
      </c>
    </row>
    <row r="92" spans="1:6" s="11" customFormat="1" ht="15.75" hidden="1">
      <c r="A92" s="179">
        <v>3100000</v>
      </c>
      <c r="B92" s="317" t="s">
        <v>860</v>
      </c>
      <c r="C92" s="445"/>
      <c r="D92" s="524"/>
      <c r="E92" s="786"/>
      <c r="F92" s="417"/>
    </row>
    <row r="93" spans="1:6" s="11" customFormat="1" ht="15.75" hidden="1">
      <c r="A93" s="179">
        <v>10702</v>
      </c>
      <c r="B93" s="315" t="s">
        <v>854</v>
      </c>
      <c r="C93" s="445"/>
      <c r="D93" s="524"/>
      <c r="E93" s="786"/>
      <c r="F93" s="781"/>
    </row>
    <row r="94" spans="1:6" s="700" customFormat="1" ht="15.75" hidden="1">
      <c r="A94" s="151">
        <v>3110299</v>
      </c>
      <c r="B94" s="43" t="s">
        <v>597</v>
      </c>
      <c r="C94" s="448" t="e">
        <f>'PROJECTS DETAILS'!#REF!</f>
        <v>#REF!</v>
      </c>
      <c r="D94" s="576" t="e">
        <f>'PROJECTS DETAILS'!#REF!</f>
        <v>#REF!</v>
      </c>
      <c r="E94" s="785" t="e">
        <f>C94+D94</f>
        <v>#REF!</v>
      </c>
      <c r="F94" s="417"/>
    </row>
    <row r="95" spans="1:6" s="700" customFormat="1" ht="15.75" hidden="1">
      <c r="A95" s="151">
        <v>3110202</v>
      </c>
      <c r="B95" s="161" t="s">
        <v>599</v>
      </c>
      <c r="C95" s="449" t="e">
        <f>'PROJECTS DETAILS'!#REF!</f>
        <v>#REF!</v>
      </c>
      <c r="D95" s="576" t="e">
        <f>'PROJECTS DETAILS'!#REF!</f>
        <v>#REF!</v>
      </c>
      <c r="E95" s="785" t="e">
        <f>C95+D95</f>
        <v>#REF!</v>
      </c>
      <c r="F95" s="417"/>
    </row>
    <row r="96" spans="1:6" s="700" customFormat="1" ht="15.75" hidden="1">
      <c r="A96" s="151">
        <v>3110202</v>
      </c>
      <c r="B96" s="43" t="s">
        <v>600</v>
      </c>
      <c r="C96" s="449" t="e">
        <f>'PROJECTS DETAILS'!#REF!</f>
        <v>#REF!</v>
      </c>
      <c r="D96" s="576" t="e">
        <f>'PROJECTS DETAILS'!#REF!</f>
        <v>#REF!</v>
      </c>
      <c r="E96" s="785" t="e">
        <f>C96+D96</f>
        <v>#REF!</v>
      </c>
      <c r="F96" s="417"/>
    </row>
    <row r="97" spans="1:6" s="700" customFormat="1" ht="15.75" hidden="1">
      <c r="A97" s="179"/>
      <c r="B97" s="315" t="s">
        <v>859</v>
      </c>
      <c r="C97" s="729" t="e">
        <f>SUM(C94:C96)</f>
        <v>#REF!</v>
      </c>
      <c r="D97" s="730" t="e">
        <f>SUM(D94:D96)</f>
        <v>#REF!</v>
      </c>
      <c r="E97" s="730" t="e">
        <f>SUM(E94:E96)</f>
        <v>#REF!</v>
      </c>
      <c r="F97" s="417"/>
    </row>
    <row r="98" spans="1:6" s="701" customFormat="1" ht="15.75" hidden="1">
      <c r="A98" s="179">
        <v>10703</v>
      </c>
      <c r="B98" s="315" t="s">
        <v>857</v>
      </c>
      <c r="C98" s="445"/>
      <c r="D98" s="531"/>
      <c r="E98" s="787"/>
      <c r="F98" s="781"/>
    </row>
    <row r="99" spans="1:6" s="700" customFormat="1" ht="15.75" hidden="1">
      <c r="A99" s="151">
        <v>3110202</v>
      </c>
      <c r="B99" s="161" t="s">
        <v>855</v>
      </c>
      <c r="C99" s="731" t="e">
        <f>'PROJECTS DETAILS'!#REF!</f>
        <v>#REF!</v>
      </c>
      <c r="D99" s="576" t="e">
        <f>'PROJECTS DETAILS'!#REF!</f>
        <v>#REF!</v>
      </c>
      <c r="E99" s="785" t="e">
        <f>C99+D99</f>
        <v>#REF!</v>
      </c>
      <c r="F99" s="417"/>
    </row>
    <row r="100" spans="1:6" s="700" customFormat="1" ht="15.75" hidden="1">
      <c r="A100" s="151">
        <v>3110202</v>
      </c>
      <c r="B100" s="161" t="s">
        <v>856</v>
      </c>
      <c r="C100" s="731" t="e">
        <f>'PROJECTS DETAILS'!#REF!</f>
        <v>#REF!</v>
      </c>
      <c r="D100" s="576" t="e">
        <f>'PROJECTS DETAILS'!#REF!</f>
        <v>#REF!</v>
      </c>
      <c r="E100" s="785" t="e">
        <f>C100+D100</f>
        <v>#REF!</v>
      </c>
      <c r="F100" s="417"/>
    </row>
    <row r="101" spans="1:6" s="700" customFormat="1" ht="15.75" hidden="1">
      <c r="A101" s="179"/>
      <c r="B101" s="161" t="s">
        <v>603</v>
      </c>
      <c r="C101" s="449" t="e">
        <f>'PROJECTS DETAILS'!#REF!</f>
        <v>#REF!</v>
      </c>
      <c r="D101" s="576" t="e">
        <f>'PROJECTS DETAILS'!#REF!</f>
        <v>#REF!</v>
      </c>
      <c r="E101" s="785" t="e">
        <f>C101+D101</f>
        <v>#REF!</v>
      </c>
      <c r="F101" s="417"/>
    </row>
    <row r="102" spans="1:6" s="98" customFormat="1" ht="15.75" hidden="1">
      <c r="A102" s="291"/>
      <c r="B102" s="316" t="s">
        <v>858</v>
      </c>
      <c r="C102" s="450" t="e">
        <f>SUM(C99:C101)</f>
        <v>#REF!</v>
      </c>
      <c r="D102" s="525" t="e">
        <f>SUM(D99:D101)</f>
        <v>#REF!</v>
      </c>
      <c r="E102" s="525" t="e">
        <f>SUM(E99:E101)</f>
        <v>#REF!</v>
      </c>
      <c r="F102" s="525">
        <f>SUM(F99:F101)</f>
        <v>0</v>
      </c>
    </row>
    <row r="103" spans="1:6" ht="15.75">
      <c r="A103" s="140"/>
      <c r="B103" s="140" t="s">
        <v>171</v>
      </c>
      <c r="C103" s="451">
        <f>SUM(C90,)</f>
        <v>173150000</v>
      </c>
      <c r="D103" s="526">
        <f>SUM(D90,)</f>
        <v>6133000</v>
      </c>
      <c r="E103" s="526">
        <f>SUM(E90,)</f>
        <v>179283000</v>
      </c>
      <c r="F103" s="526">
        <f>SUM(F90,)</f>
        <v>172750000</v>
      </c>
    </row>
    <row r="104" spans="1:6" ht="15.75">
      <c r="A104" s="140"/>
      <c r="B104" s="140" t="s">
        <v>784</v>
      </c>
      <c r="C104" s="139">
        <f>SUM(C103,C13)</f>
        <v>608439043</v>
      </c>
      <c r="D104" s="521">
        <f>SUM(D103,D13)</f>
        <v>6133000</v>
      </c>
      <c r="E104" s="521">
        <f>SUM(E103,E13)</f>
        <v>614572043</v>
      </c>
      <c r="F104" s="521">
        <f>SUM(F103,F13)</f>
        <v>621097713</v>
      </c>
    </row>
    <row r="105" spans="1:6" ht="15.75">
      <c r="A105" s="296"/>
      <c r="B105" s="6" t="s">
        <v>787</v>
      </c>
      <c r="C105" s="139" t="e">
        <f>SUM(C102,C97)</f>
        <v>#REF!</v>
      </c>
      <c r="D105" s="521" t="e">
        <f>SUM(D102,D97)</f>
        <v>#REF!</v>
      </c>
      <c r="E105" s="521"/>
      <c r="F105" s="521"/>
    </row>
    <row r="106" spans="1:6" ht="15.75">
      <c r="A106" s="296"/>
      <c r="B106" s="6" t="s">
        <v>790</v>
      </c>
      <c r="C106" s="139" t="e">
        <f>SUM(C104:C105)</f>
        <v>#REF!</v>
      </c>
      <c r="D106" s="521" t="e">
        <f>SUM(D104:D105)</f>
        <v>#REF!</v>
      </c>
      <c r="E106" s="521">
        <f>SUM(E104:E105)</f>
        <v>614572043</v>
      </c>
      <c r="F106" s="521">
        <f>SUM(F104:F105)</f>
        <v>621097713</v>
      </c>
    </row>
  </sheetData>
  <sheetProtection/>
  <mergeCells count="3">
    <mergeCell ref="A1:B1"/>
    <mergeCell ref="A2:B2"/>
    <mergeCell ref="A64:B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125"/>
  <sheetViews>
    <sheetView view="pageBreakPreview" zoomScale="130" zoomScaleSheetLayoutView="130" zoomScalePageLayoutView="0" workbookViewId="0" topLeftCell="A1">
      <pane ySplit="2" topLeftCell="A92" activePane="bottomLeft" state="frozen"/>
      <selection pane="topLeft" activeCell="A1" sqref="A1"/>
      <selection pane="bottomLeft" activeCell="A111" sqref="A111:IV118"/>
    </sheetView>
  </sheetViews>
  <sheetFormatPr defaultColWidth="9.140625" defaultRowHeight="15"/>
  <cols>
    <col min="1" max="1" width="11.140625" style="0" customWidth="1"/>
    <col min="2" max="2" width="56.28125" style="0" customWidth="1"/>
    <col min="3" max="3" width="14.140625" style="8" hidden="1" customWidth="1"/>
    <col min="4" max="4" width="14.57421875" style="489" hidden="1" customWidth="1"/>
    <col min="5" max="5" width="18.421875" style="564" customWidth="1"/>
    <col min="6" max="6" width="18.57421875" style="0" customWidth="1"/>
  </cols>
  <sheetData>
    <row r="1" spans="1:3" ht="15.75">
      <c r="A1" s="921" t="s">
        <v>188</v>
      </c>
      <c r="B1" s="922"/>
      <c r="C1" s="929"/>
    </row>
    <row r="2" spans="1:6" s="21" customFormat="1" ht="63">
      <c r="A2" s="917" t="s">
        <v>168</v>
      </c>
      <c r="B2" s="918"/>
      <c r="C2" s="192" t="s">
        <v>996</v>
      </c>
      <c r="D2" s="490" t="s">
        <v>995</v>
      </c>
      <c r="E2" s="561" t="s">
        <v>997</v>
      </c>
      <c r="F2" s="783" t="s">
        <v>1068</v>
      </c>
    </row>
    <row r="3" spans="1:6" s="21" customFormat="1" ht="18.75" customHeight="1">
      <c r="A3" s="200">
        <v>10901</v>
      </c>
      <c r="B3" s="200" t="s">
        <v>729</v>
      </c>
      <c r="C3" s="393"/>
      <c r="D3" s="491"/>
      <c r="E3" s="565"/>
      <c r="F3" s="782"/>
    </row>
    <row r="4" spans="1:6" s="21" customFormat="1" ht="20.25" customHeight="1">
      <c r="A4" s="200">
        <v>1080101</v>
      </c>
      <c r="B4" s="200" t="s">
        <v>680</v>
      </c>
      <c r="C4" s="147"/>
      <c r="D4" s="491"/>
      <c r="E4" s="565"/>
      <c r="F4" s="782"/>
    </row>
    <row r="5" spans="1:6" s="21" customFormat="1" ht="18" customHeight="1">
      <c r="A5" s="200">
        <v>2100000</v>
      </c>
      <c r="B5" s="200" t="s">
        <v>678</v>
      </c>
      <c r="C5" s="147"/>
      <c r="D5" s="491"/>
      <c r="E5" s="565"/>
      <c r="F5" s="782"/>
    </row>
    <row r="6" spans="1:6" ht="15.75">
      <c r="A6" s="200"/>
      <c r="B6" s="42" t="s">
        <v>2</v>
      </c>
      <c r="C6" s="121"/>
      <c r="D6" s="488"/>
      <c r="E6" s="566"/>
      <c r="F6" s="417"/>
    </row>
    <row r="7" spans="1:6" ht="15.75">
      <c r="A7" s="12" t="s">
        <v>0</v>
      </c>
      <c r="B7" s="5" t="s">
        <v>1</v>
      </c>
      <c r="C7" s="100">
        <v>1381973636</v>
      </c>
      <c r="D7" s="488"/>
      <c r="E7" s="566">
        <f>C7+D7</f>
        <v>1381973636</v>
      </c>
      <c r="F7" s="575">
        <v>1464892054</v>
      </c>
    </row>
    <row r="8" spans="1:6" ht="15.75">
      <c r="A8" s="140" t="s">
        <v>170</v>
      </c>
      <c r="B8" s="6"/>
      <c r="C8" s="7">
        <f>SUM(C7)</f>
        <v>1381973636</v>
      </c>
      <c r="D8" s="492">
        <f>SUM(D7)</f>
        <v>0</v>
      </c>
      <c r="E8" s="492">
        <f>SUM(E7)</f>
        <v>1381973636</v>
      </c>
      <c r="F8" s="492">
        <f>SUM(F7)</f>
        <v>1464892054</v>
      </c>
    </row>
    <row r="9" spans="1:6" ht="15.75">
      <c r="A9" s="12"/>
      <c r="B9" s="101" t="s">
        <v>5</v>
      </c>
      <c r="C9" s="100"/>
      <c r="D9" s="488"/>
      <c r="E9" s="566"/>
      <c r="F9" s="417"/>
    </row>
    <row r="10" spans="1:6" ht="15.75">
      <c r="A10" s="12" t="s">
        <v>3</v>
      </c>
      <c r="B10" s="99" t="s">
        <v>4</v>
      </c>
      <c r="C10" s="100">
        <v>345249225</v>
      </c>
      <c r="D10" s="488"/>
      <c r="E10" s="566">
        <f aca="true" t="shared" si="0" ref="E10:E17">C10+D10</f>
        <v>345249225</v>
      </c>
      <c r="F10" s="575">
        <v>362511686</v>
      </c>
    </row>
    <row r="11" spans="1:6" ht="15.75">
      <c r="A11" s="12" t="s">
        <v>10</v>
      </c>
      <c r="B11" s="99" t="s">
        <v>11</v>
      </c>
      <c r="C11" s="100">
        <v>142949079</v>
      </c>
      <c r="D11" s="488"/>
      <c r="E11" s="566">
        <f t="shared" si="0"/>
        <v>142949079</v>
      </c>
      <c r="F11" s="575">
        <v>150096532</v>
      </c>
    </row>
    <row r="12" spans="1:6" ht="15.75">
      <c r="A12" s="12" t="s">
        <v>455</v>
      </c>
      <c r="B12" s="99" t="s">
        <v>456</v>
      </c>
      <c r="C12" s="100">
        <v>414513918</v>
      </c>
      <c r="D12" s="488"/>
      <c r="E12" s="566">
        <f t="shared" si="0"/>
        <v>414513918</v>
      </c>
      <c r="F12" s="575">
        <v>435239613</v>
      </c>
    </row>
    <row r="13" spans="1:6" ht="15.75">
      <c r="A13" s="12" t="s">
        <v>457</v>
      </c>
      <c r="B13" s="99" t="s">
        <v>458</v>
      </c>
      <c r="C13" s="100">
        <v>34439503</v>
      </c>
      <c r="D13" s="488"/>
      <c r="E13" s="566">
        <f t="shared" si="0"/>
        <v>34439503</v>
      </c>
      <c r="F13" s="575">
        <v>36161478</v>
      </c>
    </row>
    <row r="14" spans="1:6" ht="15.75">
      <c r="A14" s="12" t="s">
        <v>12</v>
      </c>
      <c r="B14" s="99" t="s">
        <v>13</v>
      </c>
      <c r="C14" s="100">
        <v>26200020</v>
      </c>
      <c r="D14" s="488"/>
      <c r="E14" s="566">
        <f t="shared" si="0"/>
        <v>26200020</v>
      </c>
      <c r="F14" s="575">
        <v>27510021</v>
      </c>
    </row>
    <row r="15" spans="1:6" ht="15.75">
      <c r="A15" s="12" t="s">
        <v>14</v>
      </c>
      <c r="B15" s="99" t="s">
        <v>15</v>
      </c>
      <c r="C15" s="100">
        <v>126360626</v>
      </c>
      <c r="D15" s="488"/>
      <c r="E15" s="566">
        <f t="shared" si="0"/>
        <v>126360626</v>
      </c>
      <c r="F15" s="575">
        <v>132678657</v>
      </c>
    </row>
    <row r="16" spans="1:6" ht="15.75">
      <c r="A16" s="12" t="s">
        <v>116</v>
      </c>
      <c r="B16" s="99" t="s">
        <v>459</v>
      </c>
      <c r="C16" s="100">
        <v>10395000</v>
      </c>
      <c r="D16" s="488"/>
      <c r="E16" s="566">
        <f t="shared" si="0"/>
        <v>10395000</v>
      </c>
      <c r="F16" s="575">
        <v>10914750</v>
      </c>
    </row>
    <row r="17" spans="1:6" ht="15.75">
      <c r="A17" s="12">
        <v>2110335</v>
      </c>
      <c r="B17" s="99" t="s">
        <v>460</v>
      </c>
      <c r="C17" s="100">
        <v>42827400</v>
      </c>
      <c r="D17" s="488"/>
      <c r="E17" s="566">
        <f t="shared" si="0"/>
        <v>42827400</v>
      </c>
      <c r="F17" s="575">
        <v>44968770</v>
      </c>
    </row>
    <row r="18" spans="1:6" ht="15.75">
      <c r="A18" s="140" t="s">
        <v>170</v>
      </c>
      <c r="B18" s="6"/>
      <c r="C18" s="7">
        <f>SUM(C10:C17)</f>
        <v>1142934771</v>
      </c>
      <c r="D18" s="492">
        <f>SUM(D10:D17)</f>
        <v>0</v>
      </c>
      <c r="E18" s="492">
        <f>SUM(E10:E17)</f>
        <v>1142934771</v>
      </c>
      <c r="F18" s="492">
        <f>SUM(F10:F17)</f>
        <v>1200081507</v>
      </c>
    </row>
    <row r="19" spans="1:6" ht="15.75">
      <c r="A19" s="140" t="s">
        <v>173</v>
      </c>
      <c r="B19" s="6"/>
      <c r="C19" s="7">
        <f>SUM(C8,C18)</f>
        <v>2524908407</v>
      </c>
      <c r="D19" s="492">
        <f>SUM(D8,D18)</f>
        <v>0</v>
      </c>
      <c r="E19" s="492">
        <f>SUM(E8,E18)</f>
        <v>2524908407</v>
      </c>
      <c r="F19" s="492">
        <f>SUM(F8,F18)</f>
        <v>2664973561</v>
      </c>
    </row>
    <row r="20" spans="1:6" s="2" customFormat="1" ht="15.75">
      <c r="A20" s="202">
        <v>2200000</v>
      </c>
      <c r="B20" s="64" t="s">
        <v>679</v>
      </c>
      <c r="C20" s="67"/>
      <c r="D20" s="493"/>
      <c r="E20" s="567"/>
      <c r="F20" s="417"/>
    </row>
    <row r="21" spans="1:6" ht="15.75">
      <c r="A21" s="12"/>
      <c r="B21" s="101" t="s">
        <v>21</v>
      </c>
      <c r="C21" s="100"/>
      <c r="D21" s="488"/>
      <c r="E21" s="566"/>
      <c r="F21" s="417"/>
    </row>
    <row r="22" spans="1:6" ht="15.75">
      <c r="A22" s="12" t="s">
        <v>19</v>
      </c>
      <c r="B22" s="99" t="s">
        <v>20</v>
      </c>
      <c r="C22" s="100">
        <v>8000000</v>
      </c>
      <c r="D22" s="488"/>
      <c r="E22" s="566">
        <f>C22+D22</f>
        <v>8000000</v>
      </c>
      <c r="F22" s="575">
        <v>8000000</v>
      </c>
    </row>
    <row r="23" spans="1:6" ht="15.75">
      <c r="A23" s="12" t="s">
        <v>22</v>
      </c>
      <c r="B23" s="99" t="s">
        <v>23</v>
      </c>
      <c r="C23" s="100">
        <v>3000000</v>
      </c>
      <c r="D23" s="488"/>
      <c r="E23" s="566">
        <f>C23+D23</f>
        <v>3000000</v>
      </c>
      <c r="F23" s="575">
        <v>2000000</v>
      </c>
    </row>
    <row r="24" spans="1:6" ht="15.75">
      <c r="A24" s="140" t="s">
        <v>170</v>
      </c>
      <c r="B24" s="6"/>
      <c r="C24" s="7">
        <f>SUM(C22:C23)</f>
        <v>11000000</v>
      </c>
      <c r="D24" s="492">
        <f>SUM(D22:D23)</f>
        <v>0</v>
      </c>
      <c r="E24" s="492">
        <f>SUM(E22:E23)</f>
        <v>11000000</v>
      </c>
      <c r="F24" s="492">
        <f>SUM(F22:F23)</f>
        <v>10000000</v>
      </c>
    </row>
    <row r="25" spans="1:6" ht="15.75">
      <c r="A25" s="12"/>
      <c r="B25" s="101" t="s">
        <v>28</v>
      </c>
      <c r="C25" s="100"/>
      <c r="D25" s="488"/>
      <c r="E25" s="566"/>
      <c r="F25" s="417"/>
    </row>
    <row r="26" spans="1:6" ht="15.75">
      <c r="A26" s="12" t="s">
        <v>26</v>
      </c>
      <c r="B26" s="99" t="s">
        <v>27</v>
      </c>
      <c r="C26" s="100">
        <v>500000</v>
      </c>
      <c r="D26" s="488"/>
      <c r="E26" s="566">
        <f>C26+D26</f>
        <v>500000</v>
      </c>
      <c r="F26" s="575">
        <v>500000</v>
      </c>
    </row>
    <row r="27" spans="1:6" ht="15.75">
      <c r="A27" s="140" t="s">
        <v>170</v>
      </c>
      <c r="B27" s="6"/>
      <c r="C27" s="7">
        <f>SUM(C26:C26)</f>
        <v>500000</v>
      </c>
      <c r="D27" s="492">
        <f>SUM(D26:D26)</f>
        <v>0</v>
      </c>
      <c r="E27" s="492">
        <f>SUM(E26:E26)</f>
        <v>500000</v>
      </c>
      <c r="F27" s="492">
        <f>SUM(F26:F26)</f>
        <v>500000</v>
      </c>
    </row>
    <row r="28" spans="1:6" ht="15.75">
      <c r="A28" s="12"/>
      <c r="B28" s="101" t="s">
        <v>35</v>
      </c>
      <c r="C28" s="100"/>
      <c r="D28" s="488"/>
      <c r="E28" s="566"/>
      <c r="F28" s="417"/>
    </row>
    <row r="29" spans="1:6" ht="15.75">
      <c r="A29" s="12" t="s">
        <v>33</v>
      </c>
      <c r="B29" s="99" t="s">
        <v>34</v>
      </c>
      <c r="C29" s="100">
        <v>1200000</v>
      </c>
      <c r="D29" s="488"/>
      <c r="E29" s="566">
        <f>C29+D29</f>
        <v>1200000</v>
      </c>
      <c r="F29" s="575">
        <v>1200000</v>
      </c>
    </row>
    <row r="30" spans="1:6" ht="15.75">
      <c r="A30" s="12" t="s">
        <v>36</v>
      </c>
      <c r="B30" s="99" t="s">
        <v>37</v>
      </c>
      <c r="C30" s="100">
        <v>6000000</v>
      </c>
      <c r="D30" s="488"/>
      <c r="E30" s="566">
        <f>C30+D30</f>
        <v>6000000</v>
      </c>
      <c r="F30" s="575">
        <v>6000000</v>
      </c>
    </row>
    <row r="31" spans="1:6" ht="15.75">
      <c r="A31" s="12" t="s">
        <v>38</v>
      </c>
      <c r="B31" s="99" t="s">
        <v>39</v>
      </c>
      <c r="C31" s="100">
        <v>6000000</v>
      </c>
      <c r="D31" s="488"/>
      <c r="E31" s="566">
        <f>C31+D31</f>
        <v>6000000</v>
      </c>
      <c r="F31" s="575">
        <v>6764120</v>
      </c>
    </row>
    <row r="32" spans="1:6" ht="15.75">
      <c r="A32" s="140" t="s">
        <v>170</v>
      </c>
      <c r="B32" s="6"/>
      <c r="C32" s="7">
        <f>SUM(C29:C31)</f>
        <v>13200000</v>
      </c>
      <c r="D32" s="492">
        <f>SUM(D29:D31)</f>
        <v>0</v>
      </c>
      <c r="E32" s="492">
        <f>SUM(E29:E31)</f>
        <v>13200000</v>
      </c>
      <c r="F32" s="492">
        <f>SUM(F29:F31)</f>
        <v>13964120</v>
      </c>
    </row>
    <row r="33" spans="1:6" ht="15.75">
      <c r="A33" s="12"/>
      <c r="B33" s="101" t="s">
        <v>44</v>
      </c>
      <c r="C33" s="100"/>
      <c r="D33" s="488"/>
      <c r="E33" s="566"/>
      <c r="F33" s="417"/>
    </row>
    <row r="34" spans="1:6" ht="15.75">
      <c r="A34" s="12" t="s">
        <v>42</v>
      </c>
      <c r="B34" s="99" t="s">
        <v>43</v>
      </c>
      <c r="C34" s="100">
        <v>300000</v>
      </c>
      <c r="D34" s="488"/>
      <c r="E34" s="566">
        <f>C34+D34</f>
        <v>300000</v>
      </c>
      <c r="F34" s="575">
        <v>300000</v>
      </c>
    </row>
    <row r="35" spans="1:6" ht="15.75">
      <c r="A35" s="12" t="s">
        <v>45</v>
      </c>
      <c r="B35" s="99" t="s">
        <v>46</v>
      </c>
      <c r="C35" s="100">
        <v>1500000</v>
      </c>
      <c r="D35" s="488">
        <v>1000000</v>
      </c>
      <c r="E35" s="566">
        <f>C35+D35</f>
        <v>2500000</v>
      </c>
      <c r="F35" s="575">
        <v>500000</v>
      </c>
    </row>
    <row r="36" spans="1:6" ht="15.75">
      <c r="A36" s="12" t="s">
        <v>47</v>
      </c>
      <c r="B36" s="99" t="s">
        <v>39</v>
      </c>
      <c r="C36" s="100">
        <v>1600000</v>
      </c>
      <c r="D36" s="488"/>
      <c r="E36" s="566">
        <f>C36+D36</f>
        <v>1600000</v>
      </c>
      <c r="F36" s="575">
        <v>1000000</v>
      </c>
    </row>
    <row r="37" spans="1:6" ht="15.75">
      <c r="A37" s="140" t="s">
        <v>170</v>
      </c>
      <c r="B37" s="6"/>
      <c r="C37" s="7">
        <f>SUM(C34:C36)</f>
        <v>3400000</v>
      </c>
      <c r="D37" s="492">
        <f>SUM(D34:D36)</f>
        <v>1000000</v>
      </c>
      <c r="E37" s="492">
        <f>SUM(E34:E36)</f>
        <v>4400000</v>
      </c>
      <c r="F37" s="492">
        <f>SUM(F34:F36)</f>
        <v>1800000</v>
      </c>
    </row>
    <row r="38" spans="1:6" ht="15.75">
      <c r="A38" s="12"/>
      <c r="B38" s="101" t="s">
        <v>50</v>
      </c>
      <c r="C38" s="100"/>
      <c r="D38" s="488"/>
      <c r="E38" s="566"/>
      <c r="F38" s="417"/>
    </row>
    <row r="39" spans="1:6" ht="15.75">
      <c r="A39" s="12" t="s">
        <v>51</v>
      </c>
      <c r="B39" s="99" t="s">
        <v>52</v>
      </c>
      <c r="C39" s="100">
        <v>1000000</v>
      </c>
      <c r="D39" s="488"/>
      <c r="E39" s="566">
        <f>C39+D39</f>
        <v>1000000</v>
      </c>
      <c r="F39" s="575">
        <v>1200000</v>
      </c>
    </row>
    <row r="40" spans="1:6" ht="15.75">
      <c r="A40" s="140" t="s">
        <v>170</v>
      </c>
      <c r="B40" s="6"/>
      <c r="C40" s="7">
        <f>SUM(C39:C39)</f>
        <v>1000000</v>
      </c>
      <c r="D40" s="492">
        <f>SUM(D39:D39)</f>
        <v>0</v>
      </c>
      <c r="E40" s="492">
        <f>SUM(E39:E39)</f>
        <v>1000000</v>
      </c>
      <c r="F40" s="492">
        <f>SUM(F39:F39)</f>
        <v>1200000</v>
      </c>
    </row>
    <row r="41" spans="1:6" ht="15.75">
      <c r="A41" s="99"/>
      <c r="B41" s="101" t="s">
        <v>59</v>
      </c>
      <c r="C41" s="100"/>
      <c r="D41" s="488"/>
      <c r="E41" s="566"/>
      <c r="F41" s="417"/>
    </row>
    <row r="42" spans="1:6" ht="15.75">
      <c r="A42" s="99">
        <v>2210602</v>
      </c>
      <c r="B42" s="99" t="s">
        <v>461</v>
      </c>
      <c r="C42" s="100">
        <v>1000000</v>
      </c>
      <c r="D42" s="488"/>
      <c r="E42" s="566">
        <f>C42+D42</f>
        <v>1000000</v>
      </c>
      <c r="F42" s="575">
        <v>800000</v>
      </c>
    </row>
    <row r="43" spans="1:6" ht="15.75">
      <c r="A43" s="140"/>
      <c r="B43" s="6"/>
      <c r="C43" s="7">
        <f>SUM(C42)</f>
        <v>1000000</v>
      </c>
      <c r="D43" s="492">
        <f>SUM(D42)</f>
        <v>0</v>
      </c>
      <c r="E43" s="492">
        <f>SUM(E42)</f>
        <v>1000000</v>
      </c>
      <c r="F43" s="492">
        <f>SUM(F42)</f>
        <v>800000</v>
      </c>
    </row>
    <row r="44" spans="1:6" ht="15.75">
      <c r="A44" s="12"/>
      <c r="B44" s="101" t="s">
        <v>68</v>
      </c>
      <c r="C44" s="100"/>
      <c r="D44" s="488"/>
      <c r="E44" s="566"/>
      <c r="F44" s="417"/>
    </row>
    <row r="45" spans="1:6" ht="15.75">
      <c r="A45" s="12" t="s">
        <v>66</v>
      </c>
      <c r="B45" s="99" t="s">
        <v>67</v>
      </c>
      <c r="C45" s="100">
        <v>200000</v>
      </c>
      <c r="D45" s="488"/>
      <c r="E45" s="566">
        <f>C45+D45</f>
        <v>200000</v>
      </c>
      <c r="F45" s="575">
        <v>200000</v>
      </c>
    </row>
    <row r="46" spans="1:6" ht="15.75">
      <c r="A46" s="12" t="s">
        <v>73</v>
      </c>
      <c r="B46" s="99" t="s">
        <v>74</v>
      </c>
      <c r="C46" s="100">
        <v>300000</v>
      </c>
      <c r="D46" s="488"/>
      <c r="E46" s="566">
        <f>C46+D46</f>
        <v>300000</v>
      </c>
      <c r="F46" s="575">
        <v>300000</v>
      </c>
    </row>
    <row r="47" spans="1:6" ht="15.75">
      <c r="A47" s="12" t="s">
        <v>75</v>
      </c>
      <c r="B47" s="99" t="s">
        <v>76</v>
      </c>
      <c r="C47" s="100">
        <v>1000000</v>
      </c>
      <c r="D47" s="488"/>
      <c r="E47" s="566">
        <f>C47+D47</f>
        <v>1000000</v>
      </c>
      <c r="F47" s="575">
        <v>500000</v>
      </c>
    </row>
    <row r="48" spans="1:6" ht="15.75">
      <c r="A48" s="12" t="s">
        <v>80</v>
      </c>
      <c r="B48" s="99" t="s">
        <v>81</v>
      </c>
      <c r="C48" s="100">
        <v>500000</v>
      </c>
      <c r="D48" s="488"/>
      <c r="E48" s="566">
        <f>C48+D48</f>
        <v>500000</v>
      </c>
      <c r="F48" s="575"/>
    </row>
    <row r="49" spans="1:6" s="504" customFormat="1" ht="15.75">
      <c r="A49" s="506"/>
      <c r="B49" s="505" t="s">
        <v>68</v>
      </c>
      <c r="C49" s="100"/>
      <c r="D49" s="575"/>
      <c r="E49" s="575"/>
      <c r="F49" s="575">
        <v>1000000</v>
      </c>
    </row>
    <row r="50" spans="1:6" ht="15.75">
      <c r="A50" s="140" t="s">
        <v>170</v>
      </c>
      <c r="B50" s="6"/>
      <c r="C50" s="7">
        <f>SUM(C45:C48)</f>
        <v>2000000</v>
      </c>
      <c r="D50" s="492">
        <f>SUM(D45:D48)</f>
        <v>0</v>
      </c>
      <c r="E50" s="492">
        <f>SUM(E45:E48)</f>
        <v>2000000</v>
      </c>
      <c r="F50" s="492">
        <f>SUM(F45:F49)</f>
        <v>2000000</v>
      </c>
    </row>
    <row r="51" spans="1:6" ht="15.75">
      <c r="A51" s="12"/>
      <c r="B51" s="101" t="s">
        <v>84</v>
      </c>
      <c r="C51" s="100"/>
      <c r="D51" s="488"/>
      <c r="E51" s="566"/>
      <c r="F51" s="417"/>
    </row>
    <row r="52" spans="1:6" ht="15.75">
      <c r="A52" s="12" t="s">
        <v>82</v>
      </c>
      <c r="B52" s="99" t="s">
        <v>83</v>
      </c>
      <c r="C52" s="100">
        <v>1000000</v>
      </c>
      <c r="D52" s="488"/>
      <c r="E52" s="566">
        <f>C52+D52</f>
        <v>1000000</v>
      </c>
      <c r="F52" s="575">
        <v>1000000</v>
      </c>
    </row>
    <row r="53" spans="1:6" ht="15.75">
      <c r="A53" s="12" t="s">
        <v>85</v>
      </c>
      <c r="B53" s="99" t="s">
        <v>86</v>
      </c>
      <c r="C53" s="100">
        <v>1000000</v>
      </c>
      <c r="D53" s="488"/>
      <c r="E53" s="566">
        <f>C53+D53</f>
        <v>1000000</v>
      </c>
      <c r="F53" s="575">
        <v>1000000</v>
      </c>
    </row>
    <row r="54" spans="1:6" ht="15.75">
      <c r="A54" s="140" t="s">
        <v>170</v>
      </c>
      <c r="B54" s="6"/>
      <c r="C54" s="7">
        <f>SUM(C52:C53)</f>
        <v>2000000</v>
      </c>
      <c r="D54" s="492">
        <f>SUM(D52:D53)</f>
        <v>0</v>
      </c>
      <c r="E54" s="492">
        <f>SUM(E52:E53)</f>
        <v>2000000</v>
      </c>
      <c r="F54" s="492">
        <f>SUM(F52:F53)</f>
        <v>2000000</v>
      </c>
    </row>
    <row r="55" spans="1:6" ht="15.75">
      <c r="A55" s="12"/>
      <c r="B55" s="101" t="s">
        <v>101</v>
      </c>
      <c r="C55" s="100"/>
      <c r="D55" s="488"/>
      <c r="E55" s="566"/>
      <c r="F55" s="417"/>
    </row>
    <row r="56" spans="1:6" ht="15.75">
      <c r="A56" s="12" t="s">
        <v>462</v>
      </c>
      <c r="B56" s="99" t="s">
        <v>463</v>
      </c>
      <c r="C56" s="100">
        <v>180000000</v>
      </c>
      <c r="D56" s="488"/>
      <c r="E56" s="566">
        <f>C56+D56</f>
        <v>180000000</v>
      </c>
      <c r="F56" s="575">
        <v>180000000</v>
      </c>
    </row>
    <row r="57" spans="1:6" ht="15.75">
      <c r="A57" s="12" t="s">
        <v>464</v>
      </c>
      <c r="B57" s="99" t="s">
        <v>465</v>
      </c>
      <c r="C57" s="100">
        <v>25000000</v>
      </c>
      <c r="D57" s="488"/>
      <c r="E57" s="566">
        <f>C57+D57</f>
        <v>25000000</v>
      </c>
      <c r="F57" s="575">
        <v>25000000</v>
      </c>
    </row>
    <row r="58" spans="1:6" ht="15.75">
      <c r="A58" s="140" t="s">
        <v>170</v>
      </c>
      <c r="B58" s="6"/>
      <c r="C58" s="7">
        <f>SUM(C56:C57)</f>
        <v>205000000</v>
      </c>
      <c r="D58" s="492">
        <f>SUM(D56:D57)</f>
        <v>0</v>
      </c>
      <c r="E58" s="492">
        <f>SUM(E56:E57)</f>
        <v>205000000</v>
      </c>
      <c r="F58" s="492">
        <f>SUM(F56:F57)</f>
        <v>205000000</v>
      </c>
    </row>
    <row r="59" spans="1:6" ht="15.75">
      <c r="A59" s="12"/>
      <c r="B59" s="101" t="s">
        <v>124</v>
      </c>
      <c r="C59" s="100"/>
      <c r="D59" s="488"/>
      <c r="E59" s="566"/>
      <c r="F59" s="417"/>
    </row>
    <row r="60" spans="1:6" ht="15.75">
      <c r="A60" s="12" t="s">
        <v>122</v>
      </c>
      <c r="B60" s="99" t="s">
        <v>123</v>
      </c>
      <c r="C60" s="100">
        <v>1000000</v>
      </c>
      <c r="D60" s="488"/>
      <c r="E60" s="566">
        <f>C60+D60</f>
        <v>1000000</v>
      </c>
      <c r="F60" s="575">
        <v>1000000</v>
      </c>
    </row>
    <row r="61" spans="1:6" ht="15.75">
      <c r="A61" s="12" t="s">
        <v>125</v>
      </c>
      <c r="B61" s="99" t="s">
        <v>126</v>
      </c>
      <c r="C61" s="100">
        <v>500000</v>
      </c>
      <c r="D61" s="488">
        <v>1300000</v>
      </c>
      <c r="E61" s="566">
        <f>C61+D61</f>
        <v>1800000</v>
      </c>
      <c r="F61" s="575">
        <v>1500000</v>
      </c>
    </row>
    <row r="62" spans="1:6" ht="15.75">
      <c r="A62" s="12" t="s">
        <v>127</v>
      </c>
      <c r="B62" s="99" t="s">
        <v>128</v>
      </c>
      <c r="C62" s="100">
        <v>350000</v>
      </c>
      <c r="D62" s="488"/>
      <c r="E62" s="566">
        <f>C62+D62</f>
        <v>350000</v>
      </c>
      <c r="F62" s="575">
        <v>850000</v>
      </c>
    </row>
    <row r="63" spans="1:6" ht="15.75">
      <c r="A63" s="140" t="s">
        <v>170</v>
      </c>
      <c r="B63" s="6"/>
      <c r="C63" s="7">
        <f>SUM(C60:C62)</f>
        <v>1850000</v>
      </c>
      <c r="D63" s="492">
        <f>SUM(D60:D62)</f>
        <v>1300000</v>
      </c>
      <c r="E63" s="492">
        <f>SUM(E60:E62)</f>
        <v>3150000</v>
      </c>
      <c r="F63" s="492">
        <f>SUM(F60:F62)</f>
        <v>3350000</v>
      </c>
    </row>
    <row r="64" spans="1:6" ht="15.75">
      <c r="A64" s="12"/>
      <c r="B64" s="101" t="s">
        <v>131</v>
      </c>
      <c r="C64" s="100"/>
      <c r="D64" s="488"/>
      <c r="E64" s="566"/>
      <c r="F64" s="417"/>
    </row>
    <row r="65" spans="1:6" ht="15.75">
      <c r="A65" s="12" t="s">
        <v>129</v>
      </c>
      <c r="B65" s="99" t="s">
        <v>130</v>
      </c>
      <c r="C65" s="100">
        <v>5000000</v>
      </c>
      <c r="D65" s="488"/>
      <c r="E65" s="566">
        <f>C65+D65</f>
        <v>5000000</v>
      </c>
      <c r="F65" s="575">
        <v>5000000</v>
      </c>
    </row>
    <row r="66" spans="1:6" ht="15.75">
      <c r="A66" s="140" t="s">
        <v>170</v>
      </c>
      <c r="B66" s="6"/>
      <c r="C66" s="7">
        <f>SUM(C65:C65)</f>
        <v>5000000</v>
      </c>
      <c r="D66" s="492">
        <f>SUM(D65:D65)</f>
        <v>0</v>
      </c>
      <c r="E66" s="492">
        <f>SUM(E65:E65)</f>
        <v>5000000</v>
      </c>
      <c r="F66" s="492">
        <f>SUM(F65:F65)</f>
        <v>5000000</v>
      </c>
    </row>
    <row r="67" spans="1:6" ht="15.75">
      <c r="A67" s="12"/>
      <c r="B67" s="101" t="s">
        <v>136</v>
      </c>
      <c r="C67" s="100"/>
      <c r="D67" s="488"/>
      <c r="E67" s="566"/>
      <c r="F67" s="417"/>
    </row>
    <row r="68" spans="1:6" ht="15.75">
      <c r="A68" s="184" t="s">
        <v>137</v>
      </c>
      <c r="B68" s="73" t="s">
        <v>138</v>
      </c>
      <c r="C68" s="57">
        <v>1000000</v>
      </c>
      <c r="D68" s="576">
        <v>-250000</v>
      </c>
      <c r="E68" s="576">
        <f>C68+D68</f>
        <v>750000</v>
      </c>
      <c r="F68" s="800">
        <v>1000000</v>
      </c>
    </row>
    <row r="69" spans="1:6" ht="15.75">
      <c r="A69" s="184">
        <v>3111001</v>
      </c>
      <c r="B69" s="73" t="s">
        <v>167</v>
      </c>
      <c r="C69" s="72">
        <v>500000</v>
      </c>
      <c r="D69" s="576">
        <f>-500000+250000</f>
        <v>-250000</v>
      </c>
      <c r="E69" s="576">
        <f>C69+D69</f>
        <v>250000</v>
      </c>
      <c r="F69" s="800">
        <v>500000</v>
      </c>
    </row>
    <row r="70" spans="1:6" s="504" customFormat="1" ht="15.75">
      <c r="A70" s="184"/>
      <c r="B70" s="73" t="s">
        <v>1105</v>
      </c>
      <c r="C70" s="72"/>
      <c r="D70" s="800"/>
      <c r="E70" s="800"/>
      <c r="F70" s="800">
        <v>5000000</v>
      </c>
    </row>
    <row r="71" spans="1:6" ht="15.75">
      <c r="A71" s="140" t="s">
        <v>170</v>
      </c>
      <c r="B71" s="6"/>
      <c r="C71" s="7">
        <f>SUM(C68:C69)</f>
        <v>1500000</v>
      </c>
      <c r="D71" s="492">
        <f>SUM(D68:D69)</f>
        <v>-500000</v>
      </c>
      <c r="E71" s="492">
        <f>SUM(E68:E70)</f>
        <v>1000000</v>
      </c>
      <c r="F71" s="492">
        <f>SUM(F68:F70)</f>
        <v>6500000</v>
      </c>
    </row>
    <row r="72" spans="1:6" ht="15.75">
      <c r="A72" s="135" t="s">
        <v>466</v>
      </c>
      <c r="B72" s="101"/>
      <c r="C72" s="142"/>
      <c r="D72" s="488"/>
      <c r="E72" s="566"/>
      <c r="F72" s="417"/>
    </row>
    <row r="73" spans="1:6" ht="15.75">
      <c r="A73" s="12" t="s">
        <v>122</v>
      </c>
      <c r="B73" s="99" t="s">
        <v>123</v>
      </c>
      <c r="C73" s="100">
        <v>250000</v>
      </c>
      <c r="D73" s="488"/>
      <c r="E73" s="566">
        <f aca="true" t="shared" si="1" ref="E73:E78">C73+D73</f>
        <v>250000</v>
      </c>
      <c r="F73" s="575">
        <v>250000</v>
      </c>
    </row>
    <row r="74" spans="1:6" ht="15.75">
      <c r="A74" s="12" t="s">
        <v>97</v>
      </c>
      <c r="B74" s="99" t="s">
        <v>98</v>
      </c>
      <c r="C74" s="100">
        <v>2500000</v>
      </c>
      <c r="D74" s="488"/>
      <c r="E74" s="566">
        <f t="shared" si="1"/>
        <v>2500000</v>
      </c>
      <c r="F74" s="575"/>
    </row>
    <row r="75" spans="1:6" ht="15.75">
      <c r="A75" s="12" t="s">
        <v>127</v>
      </c>
      <c r="B75" s="99" t="s">
        <v>128</v>
      </c>
      <c r="C75" s="100">
        <v>300000</v>
      </c>
      <c r="D75" s="488"/>
      <c r="E75" s="566">
        <f t="shared" si="1"/>
        <v>300000</v>
      </c>
      <c r="F75" s="575">
        <v>300000</v>
      </c>
    </row>
    <row r="76" spans="1:6" ht="15.75">
      <c r="A76" s="12" t="s">
        <v>129</v>
      </c>
      <c r="B76" s="99" t="s">
        <v>130</v>
      </c>
      <c r="C76" s="100">
        <v>4000000</v>
      </c>
      <c r="D76" s="488"/>
      <c r="E76" s="566">
        <f t="shared" si="1"/>
        <v>4000000</v>
      </c>
      <c r="F76" s="575">
        <v>4000000</v>
      </c>
    </row>
    <row r="77" spans="1:6" ht="15.75">
      <c r="A77" s="12" t="s">
        <v>149</v>
      </c>
      <c r="B77" s="99" t="s">
        <v>150</v>
      </c>
      <c r="C77" s="100">
        <v>3000000</v>
      </c>
      <c r="D77" s="488"/>
      <c r="E77" s="566">
        <f t="shared" si="1"/>
        <v>3000000</v>
      </c>
      <c r="F77" s="575">
        <v>3000000</v>
      </c>
    </row>
    <row r="78" spans="1:6" ht="15.75">
      <c r="A78" s="12" t="s">
        <v>26</v>
      </c>
      <c r="B78" s="99" t="s">
        <v>27</v>
      </c>
      <c r="C78" s="100">
        <v>200000</v>
      </c>
      <c r="D78" s="488"/>
      <c r="E78" s="566">
        <f t="shared" si="1"/>
        <v>200000</v>
      </c>
      <c r="F78" s="575">
        <v>200000</v>
      </c>
    </row>
    <row r="79" spans="1:6" ht="15.75">
      <c r="A79" s="140" t="s">
        <v>170</v>
      </c>
      <c r="B79" s="6"/>
      <c r="C79" s="7">
        <f>SUM(C73:C78)</f>
        <v>10250000</v>
      </c>
      <c r="D79" s="492">
        <f>SUM(D73:D78)</f>
        <v>0</v>
      </c>
      <c r="E79" s="492">
        <f>SUM(E73:E78)</f>
        <v>10250000</v>
      </c>
      <c r="F79" s="492">
        <f>SUM(F73:F78)</f>
        <v>7750000</v>
      </c>
    </row>
    <row r="80" spans="1:6" ht="15.75">
      <c r="A80" s="135" t="s">
        <v>467</v>
      </c>
      <c r="B80" s="101"/>
      <c r="C80" s="100"/>
      <c r="D80" s="488"/>
      <c r="E80" s="566"/>
      <c r="F80" s="417"/>
    </row>
    <row r="81" spans="1:6" ht="15.75">
      <c r="A81" s="12" t="s">
        <v>26</v>
      </c>
      <c r="B81" s="99" t="s">
        <v>27</v>
      </c>
      <c r="C81" s="100"/>
      <c r="D81" s="488">
        <v>100000</v>
      </c>
      <c r="E81" s="566">
        <f aca="true" t="shared" si="2" ref="E81:E94">C81+D81</f>
        <v>100000</v>
      </c>
      <c r="F81" s="575">
        <v>200000</v>
      </c>
    </row>
    <row r="82" spans="1:6" ht="15.75">
      <c r="A82" s="12" t="s">
        <v>29</v>
      </c>
      <c r="B82" s="99" t="s">
        <v>30</v>
      </c>
      <c r="C82" s="100"/>
      <c r="D82" s="488">
        <v>50000</v>
      </c>
      <c r="E82" s="566">
        <f t="shared" si="2"/>
        <v>50000</v>
      </c>
      <c r="F82" s="575">
        <v>50000</v>
      </c>
    </row>
    <row r="83" spans="1:6" ht="15.75">
      <c r="A83" s="143" t="s">
        <v>122</v>
      </c>
      <c r="B83" s="99" t="s">
        <v>123</v>
      </c>
      <c r="C83" s="100"/>
      <c r="D83" s="488">
        <v>300000</v>
      </c>
      <c r="E83" s="566">
        <f t="shared" si="2"/>
        <v>300000</v>
      </c>
      <c r="F83" s="575">
        <v>300000</v>
      </c>
    </row>
    <row r="84" spans="1:6" ht="15.75">
      <c r="A84" s="143" t="s">
        <v>125</v>
      </c>
      <c r="B84" s="99" t="s">
        <v>126</v>
      </c>
      <c r="C84" s="100"/>
      <c r="D84" s="488">
        <v>200000</v>
      </c>
      <c r="E84" s="566">
        <f t="shared" si="2"/>
        <v>200000</v>
      </c>
      <c r="F84" s="575">
        <v>200000</v>
      </c>
    </row>
    <row r="85" spans="1:6" ht="15.75">
      <c r="A85" s="143" t="s">
        <v>127</v>
      </c>
      <c r="B85" s="99" t="s">
        <v>128</v>
      </c>
      <c r="C85" s="100"/>
      <c r="D85" s="488">
        <v>25000</v>
      </c>
      <c r="E85" s="566">
        <f t="shared" si="2"/>
        <v>25000</v>
      </c>
      <c r="F85" s="575">
        <v>25000</v>
      </c>
    </row>
    <row r="86" spans="1:6" s="403" customFormat="1" ht="15.75">
      <c r="A86" s="143"/>
      <c r="B86" s="56" t="s">
        <v>44</v>
      </c>
      <c r="C86" s="57"/>
      <c r="D86" s="576">
        <f>1800000-750000</f>
        <v>1050000</v>
      </c>
      <c r="E86" s="576">
        <f t="shared" si="2"/>
        <v>1050000</v>
      </c>
      <c r="F86" s="800">
        <v>550000</v>
      </c>
    </row>
    <row r="87" spans="1:6" ht="15.75">
      <c r="A87" s="85" t="s">
        <v>33</v>
      </c>
      <c r="B87" s="56" t="s">
        <v>34</v>
      </c>
      <c r="C87" s="57">
        <v>525000</v>
      </c>
      <c r="D87" s="576"/>
      <c r="E87" s="576">
        <f t="shared" si="2"/>
        <v>525000</v>
      </c>
      <c r="F87" s="575">
        <v>525000</v>
      </c>
    </row>
    <row r="88" spans="1:6" ht="15.75">
      <c r="A88" s="85" t="s">
        <v>36</v>
      </c>
      <c r="B88" s="56" t="s">
        <v>37</v>
      </c>
      <c r="C88" s="57">
        <v>1050000</v>
      </c>
      <c r="D88" s="576">
        <v>1000000</v>
      </c>
      <c r="E88" s="576">
        <f t="shared" si="2"/>
        <v>2050000</v>
      </c>
      <c r="F88" s="575">
        <v>1050000</v>
      </c>
    </row>
    <row r="89" spans="1:6" ht="15.75">
      <c r="A89" s="85" t="s">
        <v>38</v>
      </c>
      <c r="B89" s="56" t="s">
        <v>39</v>
      </c>
      <c r="C89" s="57">
        <v>1400000</v>
      </c>
      <c r="D89" s="576">
        <v>500000</v>
      </c>
      <c r="E89" s="576">
        <f t="shared" si="2"/>
        <v>1900000</v>
      </c>
      <c r="F89" s="575">
        <v>1000000</v>
      </c>
    </row>
    <row r="90" spans="1:6" ht="15.75">
      <c r="A90" s="85" t="s">
        <v>82</v>
      </c>
      <c r="B90" s="56" t="s">
        <v>83</v>
      </c>
      <c r="C90" s="57"/>
      <c r="D90" s="576">
        <v>250000</v>
      </c>
      <c r="E90" s="576">
        <f t="shared" si="2"/>
        <v>250000</v>
      </c>
      <c r="F90" s="575">
        <v>250000</v>
      </c>
    </row>
    <row r="91" spans="1:6" ht="15.75">
      <c r="A91" s="85">
        <v>3111001</v>
      </c>
      <c r="B91" s="56" t="s">
        <v>346</v>
      </c>
      <c r="C91" s="57"/>
      <c r="D91" s="576">
        <v>350000</v>
      </c>
      <c r="E91" s="576">
        <f t="shared" si="2"/>
        <v>350000</v>
      </c>
      <c r="F91" s="575">
        <v>350000</v>
      </c>
    </row>
    <row r="92" spans="1:6" s="403" customFormat="1" ht="15.75">
      <c r="A92" s="56" t="s">
        <v>143</v>
      </c>
      <c r="B92" s="56" t="s">
        <v>144</v>
      </c>
      <c r="C92" s="57">
        <v>3000000</v>
      </c>
      <c r="D92" s="576">
        <f>-3000000+750000</f>
        <v>-2250000</v>
      </c>
      <c r="E92" s="576">
        <f t="shared" si="2"/>
        <v>750000</v>
      </c>
      <c r="F92" s="800">
        <v>500000</v>
      </c>
    </row>
    <row r="93" spans="1:6" ht="15.75">
      <c r="A93" s="12">
        <v>3110301</v>
      </c>
      <c r="B93" s="99" t="s">
        <v>347</v>
      </c>
      <c r="C93" s="100"/>
      <c r="D93" s="488">
        <v>150000</v>
      </c>
      <c r="E93" s="566">
        <f t="shared" si="2"/>
        <v>150000</v>
      </c>
      <c r="F93" s="575">
        <v>150000</v>
      </c>
    </row>
    <row r="94" spans="1:6" ht="15.75">
      <c r="A94" s="12" t="s">
        <v>149</v>
      </c>
      <c r="B94" s="99" t="s">
        <v>150</v>
      </c>
      <c r="C94" s="100"/>
      <c r="D94" s="488">
        <v>500000</v>
      </c>
      <c r="E94" s="566">
        <f t="shared" si="2"/>
        <v>500000</v>
      </c>
      <c r="F94" s="575">
        <v>300000</v>
      </c>
    </row>
    <row r="95" spans="1:6" ht="15.75">
      <c r="A95" s="140" t="s">
        <v>170</v>
      </c>
      <c r="B95" s="6"/>
      <c r="C95" s="7">
        <f>SUM(C81:C94)</f>
        <v>5975000</v>
      </c>
      <c r="D95" s="492">
        <f>SUM(D81:D94)</f>
        <v>2225000</v>
      </c>
      <c r="E95" s="492">
        <f>SUM(E81:E94)</f>
        <v>8200000</v>
      </c>
      <c r="F95" s="492">
        <f>SUM(F81:F94)</f>
        <v>5450000</v>
      </c>
    </row>
    <row r="96" spans="1:6" ht="15.75">
      <c r="A96" s="144"/>
      <c r="B96" s="101" t="s">
        <v>468</v>
      </c>
      <c r="C96" s="142"/>
      <c r="D96" s="488"/>
      <c r="E96" s="566"/>
      <c r="F96" s="417"/>
    </row>
    <row r="97" spans="1:6" s="2" customFormat="1" ht="15.75">
      <c r="A97" s="85"/>
      <c r="B97" s="56" t="s">
        <v>469</v>
      </c>
      <c r="C97" s="57">
        <v>90452157</v>
      </c>
      <c r="D97" s="493" t="e">
        <f>Revenue!#REF!</f>
        <v>#REF!</v>
      </c>
      <c r="E97" s="567"/>
      <c r="F97" s="800">
        <f>Revenue!C13</f>
        <v>68638638</v>
      </c>
    </row>
    <row r="98" spans="1:6" s="2" customFormat="1" ht="15.75">
      <c r="A98" s="85"/>
      <c r="B98" s="56" t="s">
        <v>221</v>
      </c>
      <c r="C98" s="57">
        <v>52277994</v>
      </c>
      <c r="D98" s="493" t="e">
        <f>Revenue!#REF!</f>
        <v>#REF!</v>
      </c>
      <c r="E98" s="567"/>
      <c r="F98" s="800">
        <v>26138997</v>
      </c>
    </row>
    <row r="99" spans="1:6" s="2" customFormat="1" ht="15.75">
      <c r="A99" s="85"/>
      <c r="B99" s="56" t="s">
        <v>470</v>
      </c>
      <c r="C99" s="57">
        <v>22968750</v>
      </c>
      <c r="D99" s="493">
        <v>2400000</v>
      </c>
      <c r="E99" s="567">
        <f>C99+D99</f>
        <v>25368750</v>
      </c>
      <c r="F99" s="800">
        <f>Revenue!C14</f>
        <v>22140000</v>
      </c>
    </row>
    <row r="100" spans="1:6" ht="15.75">
      <c r="A100" s="140" t="s">
        <v>170</v>
      </c>
      <c r="B100" s="6"/>
      <c r="C100" s="7">
        <f>SUM(C97:C99)</f>
        <v>165698901</v>
      </c>
      <c r="D100" s="492" t="e">
        <f>SUM(D97:D99)</f>
        <v>#REF!</v>
      </c>
      <c r="E100" s="492"/>
      <c r="F100" s="492">
        <f>SUM(F97:F99)</f>
        <v>116917635</v>
      </c>
    </row>
    <row r="101" spans="1:6" ht="15.75">
      <c r="A101" s="12"/>
      <c r="B101" s="101" t="s">
        <v>151</v>
      </c>
      <c r="C101" s="100"/>
      <c r="D101" s="488"/>
      <c r="E101" s="566"/>
      <c r="F101" s="417"/>
    </row>
    <row r="102" spans="1:6" ht="15.75">
      <c r="A102" s="12" t="s">
        <v>149</v>
      </c>
      <c r="B102" s="99" t="s">
        <v>150</v>
      </c>
      <c r="C102" s="100">
        <v>3000000</v>
      </c>
      <c r="D102" s="488"/>
      <c r="E102" s="566">
        <f>C102+D102</f>
        <v>3000000</v>
      </c>
      <c r="F102" s="575">
        <v>3000000</v>
      </c>
    </row>
    <row r="103" spans="1:6" ht="15.75">
      <c r="A103" s="140" t="s">
        <v>170</v>
      </c>
      <c r="B103" s="6"/>
      <c r="C103" s="7">
        <f>SUM(C102:C102)</f>
        <v>3000000</v>
      </c>
      <c r="D103" s="492">
        <f>SUM(D102:D102)</f>
        <v>0</v>
      </c>
      <c r="E103" s="492">
        <f>SUM(E102:E102)</f>
        <v>3000000</v>
      </c>
      <c r="F103" s="492">
        <f>SUM(F102:F102)</f>
        <v>3000000</v>
      </c>
    </row>
    <row r="104" spans="1:6" ht="15.75">
      <c r="A104" s="12"/>
      <c r="B104" s="101" t="s">
        <v>154</v>
      </c>
      <c r="C104" s="100"/>
      <c r="D104" s="488"/>
      <c r="E104" s="566"/>
      <c r="F104" s="417"/>
    </row>
    <row r="105" spans="1:6" ht="15.75">
      <c r="A105" s="12" t="s">
        <v>155</v>
      </c>
      <c r="B105" s="99" t="s">
        <v>156</v>
      </c>
      <c r="C105" s="100">
        <v>100000</v>
      </c>
      <c r="D105" s="488">
        <v>-100000</v>
      </c>
      <c r="E105" s="566">
        <f>C105+D105</f>
        <v>0</v>
      </c>
      <c r="F105" s="417"/>
    </row>
    <row r="106" spans="1:6" ht="15.75">
      <c r="A106" s="12" t="s">
        <v>471</v>
      </c>
      <c r="B106" s="99" t="s">
        <v>472</v>
      </c>
      <c r="C106" s="100">
        <v>15000000</v>
      </c>
      <c r="D106" s="488"/>
      <c r="E106" s="566">
        <f>C106+D106</f>
        <v>15000000</v>
      </c>
      <c r="F106" s="575">
        <v>8000000</v>
      </c>
    </row>
    <row r="107" spans="1:6" ht="15.75">
      <c r="A107" s="99" t="s">
        <v>157</v>
      </c>
      <c r="B107" s="99" t="s">
        <v>158</v>
      </c>
      <c r="C107" s="100">
        <v>500000</v>
      </c>
      <c r="D107" s="488">
        <v>700000</v>
      </c>
      <c r="E107" s="566">
        <f>C107+D107</f>
        <v>1200000</v>
      </c>
      <c r="F107" s="575">
        <v>1700000</v>
      </c>
    </row>
    <row r="108" spans="1:6" ht="15.75">
      <c r="A108" s="12" t="s">
        <v>159</v>
      </c>
      <c r="B108" s="99" t="s">
        <v>160</v>
      </c>
      <c r="C108" s="100">
        <v>1000000</v>
      </c>
      <c r="D108" s="488"/>
      <c r="E108" s="566">
        <f>C108+D108</f>
        <v>1000000</v>
      </c>
      <c r="F108" s="575">
        <v>1000000</v>
      </c>
    </row>
    <row r="109" spans="1:6" ht="15.75">
      <c r="A109" s="12" t="s">
        <v>163</v>
      </c>
      <c r="B109" s="99" t="s">
        <v>164</v>
      </c>
      <c r="C109" s="100">
        <v>100000</v>
      </c>
      <c r="D109" s="488"/>
      <c r="E109" s="566">
        <f>C109+D109</f>
        <v>100000</v>
      </c>
      <c r="F109" s="417"/>
    </row>
    <row r="110" spans="1:6" ht="15.75">
      <c r="A110" s="140" t="s">
        <v>170</v>
      </c>
      <c r="B110" s="6"/>
      <c r="C110" s="7">
        <f>SUM(C105:C109)</f>
        <v>16700000</v>
      </c>
      <c r="D110" s="492">
        <f>SUM(D105:D109)</f>
        <v>600000</v>
      </c>
      <c r="E110" s="492">
        <f>SUM(E105:E109)</f>
        <v>17300000</v>
      </c>
      <c r="F110" s="492">
        <f>SUM(F105:F109)</f>
        <v>10700000</v>
      </c>
    </row>
    <row r="111" spans="1:6" s="700" customFormat="1" ht="15.75" hidden="1">
      <c r="A111" s="179">
        <v>310000</v>
      </c>
      <c r="B111" s="64" t="s">
        <v>763</v>
      </c>
      <c r="C111" s="67"/>
      <c r="D111" s="576"/>
      <c r="E111" s="576"/>
      <c r="F111" s="417"/>
    </row>
    <row r="112" spans="1:6" s="700" customFormat="1" ht="15.75" hidden="1">
      <c r="A112" s="151">
        <v>3110504</v>
      </c>
      <c r="B112" s="43" t="s">
        <v>634</v>
      </c>
      <c r="C112" s="162" t="e">
        <f>'PROJECTS DETAILS'!#REF!</f>
        <v>#REF!</v>
      </c>
      <c r="D112" s="576" t="e">
        <f>Revenue!#REF!</f>
        <v>#REF!</v>
      </c>
      <c r="E112" s="576" t="e">
        <f aca="true" t="shared" si="3" ref="E112:E117">C112+D112</f>
        <v>#REF!</v>
      </c>
      <c r="F112" s="417"/>
    </row>
    <row r="113" spans="1:6" s="700" customFormat="1" ht="15.75" hidden="1">
      <c r="A113" s="179"/>
      <c r="B113" s="43" t="s">
        <v>635</v>
      </c>
      <c r="C113" s="162" t="e">
        <f>'PROJECTS DETAILS'!#REF!</f>
        <v>#REF!</v>
      </c>
      <c r="D113" s="576" t="e">
        <f>'PROJECTS DETAILS'!#REF!</f>
        <v>#REF!</v>
      </c>
      <c r="E113" s="576" t="e">
        <f t="shared" si="3"/>
        <v>#REF!</v>
      </c>
      <c r="F113" s="417"/>
    </row>
    <row r="114" spans="1:6" s="700" customFormat="1" ht="15.75" hidden="1">
      <c r="A114" s="179"/>
      <c r="B114" s="43" t="s">
        <v>382</v>
      </c>
      <c r="C114" s="162" t="e">
        <f>'PROJECTS DETAILS'!#REF!</f>
        <v>#REF!</v>
      </c>
      <c r="D114" s="576" t="e">
        <f>'PROJECTS DETAILS'!#REF!</f>
        <v>#REF!</v>
      </c>
      <c r="E114" s="576" t="e">
        <f t="shared" si="3"/>
        <v>#REF!</v>
      </c>
      <c r="F114" s="417"/>
    </row>
    <row r="115" spans="1:6" s="700" customFormat="1" ht="15.75" hidden="1">
      <c r="A115" s="151">
        <v>3111101</v>
      </c>
      <c r="B115" s="43" t="s">
        <v>610</v>
      </c>
      <c r="C115" s="162" t="e">
        <f>'PROJECTS DETAILS'!#REF!</f>
        <v>#REF!</v>
      </c>
      <c r="D115" s="576"/>
      <c r="E115" s="576" t="e">
        <f t="shared" si="3"/>
        <v>#REF!</v>
      </c>
      <c r="F115" s="417"/>
    </row>
    <row r="116" spans="1:6" s="700" customFormat="1" ht="31.5" hidden="1">
      <c r="A116" s="151"/>
      <c r="B116" s="717" t="s">
        <v>851</v>
      </c>
      <c r="C116" s="162" t="e">
        <f>'PROJECTS DETAILS'!#REF!+'PROJECTS DETAILS'!#REF!+'PROJECTS DETAILS'!#REF!</f>
        <v>#REF!</v>
      </c>
      <c r="D116" s="162" t="e">
        <f>'PROJECTS DETAILS'!#REF!+'PROJECTS DETAILS'!#REF!+'PROJECTS DETAILS'!#REF!</f>
        <v>#REF!</v>
      </c>
      <c r="E116" s="576" t="e">
        <f t="shared" si="3"/>
        <v>#REF!</v>
      </c>
      <c r="F116" s="417"/>
    </row>
    <row r="117" spans="1:6" s="700" customFormat="1" ht="15.75" hidden="1">
      <c r="A117" s="151">
        <v>3111200</v>
      </c>
      <c r="B117" s="43" t="s">
        <v>633</v>
      </c>
      <c r="C117" s="57" t="e">
        <f>'PROJECTS DETAILS'!#REF!</f>
        <v>#REF!</v>
      </c>
      <c r="D117" s="576"/>
      <c r="E117" s="576" t="e">
        <f t="shared" si="3"/>
        <v>#REF!</v>
      </c>
      <c r="F117" s="417"/>
    </row>
    <row r="118" spans="1:6" s="2" customFormat="1" ht="15.75" hidden="1">
      <c r="A118" s="140"/>
      <c r="B118" s="292" t="s">
        <v>852</v>
      </c>
      <c r="C118" s="293" t="e">
        <f>SUM(C112:C117)</f>
        <v>#REF!</v>
      </c>
      <c r="D118" s="293" t="e">
        <f>SUM(D112:D117)</f>
        <v>#REF!</v>
      </c>
      <c r="E118" s="293"/>
      <c r="F118" s="293"/>
    </row>
    <row r="119" spans="1:6" ht="15.75">
      <c r="A119" s="140"/>
      <c r="B119" s="140" t="s">
        <v>171</v>
      </c>
      <c r="C119" s="7">
        <f>SUM(C110,C103,C100,C95,C79,C71,C66,C63,C58,C54,C50,C43,C40,C37,C32,C27,C24)</f>
        <v>449073901</v>
      </c>
      <c r="D119" s="492" t="e">
        <f>SUM(D110,D103,D100,D95,D79,D71,D66,D63,D58,D54,D50,D43,D40,D37,D32,D27,D24)</f>
        <v>#REF!</v>
      </c>
      <c r="E119" s="492">
        <f>SUM(E110,E103,E100,E95,E79,E71,E66,E63,E58,E54,E50,E43,E40,E37,E32,E27,E24)</f>
        <v>288000000</v>
      </c>
      <c r="F119" s="492">
        <f>SUM(F110,F103,F100,F95,F79,F71,F66,F63,F58,F54,F50,F43,F40,F37,F32,F27,F24)</f>
        <v>395931755</v>
      </c>
    </row>
    <row r="120" spans="1:6" ht="15.75">
      <c r="A120" s="140"/>
      <c r="B120" s="140" t="s">
        <v>784</v>
      </c>
      <c r="C120" s="7">
        <f>C19+C119</f>
        <v>2973982308</v>
      </c>
      <c r="D120" s="492" t="e">
        <f>D19+D119</f>
        <v>#REF!</v>
      </c>
      <c r="E120" s="492">
        <f>E19+E119</f>
        <v>2812908407</v>
      </c>
      <c r="F120" s="492">
        <f>F19+F119</f>
        <v>3060905316</v>
      </c>
    </row>
    <row r="121" spans="1:6" ht="15.75">
      <c r="A121" s="297"/>
      <c r="B121" s="6" t="s">
        <v>787</v>
      </c>
      <c r="C121" s="138" t="e">
        <f>SUM(C118)</f>
        <v>#REF!</v>
      </c>
      <c r="D121" s="495" t="e">
        <f>SUM(D118)</f>
        <v>#REF!</v>
      </c>
      <c r="E121" s="495">
        <f>SUM(E118)</f>
        <v>0</v>
      </c>
      <c r="F121" s="495">
        <f>SUM(F118)</f>
        <v>0</v>
      </c>
    </row>
    <row r="122" spans="1:6" ht="15.75">
      <c r="A122" s="297"/>
      <c r="B122" s="6" t="s">
        <v>790</v>
      </c>
      <c r="C122" s="138" t="e">
        <f>SUM(C120:C121)</f>
        <v>#REF!</v>
      </c>
      <c r="D122" s="495" t="e">
        <f>SUM(D120:D121)</f>
        <v>#REF!</v>
      </c>
      <c r="E122" s="495">
        <f>SUM(E120:E121)</f>
        <v>2812908407</v>
      </c>
      <c r="F122" s="495">
        <f>SUM(F120:F121)</f>
        <v>3060905316</v>
      </c>
    </row>
    <row r="123" spans="1:6" ht="12.75" customHeight="1">
      <c r="A123" s="297"/>
      <c r="B123" s="297"/>
      <c r="C123" s="394"/>
      <c r="D123" s="496"/>
      <c r="E123" s="496"/>
      <c r="F123" s="496"/>
    </row>
    <row r="124" spans="3:5" ht="15">
      <c r="C124" s="8">
        <v>35950000</v>
      </c>
      <c r="D124" s="489">
        <v>-21000000</v>
      </c>
      <c r="E124" s="564">
        <v>14950000</v>
      </c>
    </row>
    <row r="125" spans="3:5" ht="15">
      <c r="C125" s="8">
        <f>C120+C124</f>
        <v>3009932308</v>
      </c>
      <c r="D125" s="8" t="e">
        <f>D120+D124</f>
        <v>#REF!</v>
      </c>
      <c r="E125" s="8">
        <f>E120+E124</f>
        <v>2827858407</v>
      </c>
    </row>
  </sheetData>
  <sheetProtection/>
  <mergeCells count="2">
    <mergeCell ref="A1:C1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86" r:id="rId1"/>
  <rowBreaks count="1" manualBreakCount="1">
    <brk id="46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1:F52"/>
  <sheetViews>
    <sheetView view="pageBreakPreview" zoomScale="120" zoomScaleSheetLayoutView="120" zoomScalePageLayoutView="0" workbookViewId="0" topLeftCell="A1">
      <pane ySplit="2" topLeftCell="A33" activePane="bottomLeft" state="frozen"/>
      <selection pane="topLeft" activeCell="A1" sqref="A1"/>
      <selection pane="bottomLeft" activeCell="A38" sqref="A38:B38"/>
    </sheetView>
  </sheetViews>
  <sheetFormatPr defaultColWidth="9.140625" defaultRowHeight="15"/>
  <cols>
    <col min="1" max="1" width="11.140625" style="1" customWidth="1"/>
    <col min="2" max="2" width="59.421875" style="1" customWidth="1"/>
    <col min="3" max="3" width="13.421875" style="1" hidden="1" customWidth="1"/>
    <col min="4" max="4" width="15.140625" style="564" hidden="1" customWidth="1"/>
    <col min="5" max="5" width="15.421875" style="573" customWidth="1"/>
    <col min="6" max="6" width="23.00390625" style="851" customWidth="1"/>
  </cols>
  <sheetData>
    <row r="1" spans="1:3" ht="15.75">
      <c r="A1" s="921" t="s">
        <v>322</v>
      </c>
      <c r="B1" s="922"/>
      <c r="C1" s="929"/>
    </row>
    <row r="2" spans="1:6" s="21" customFormat="1" ht="63">
      <c r="A2" s="904" t="s">
        <v>168</v>
      </c>
      <c r="B2" s="923"/>
      <c r="C2" s="192" t="s">
        <v>996</v>
      </c>
      <c r="D2" s="490" t="s">
        <v>995</v>
      </c>
      <c r="E2" s="561" t="s">
        <v>997</v>
      </c>
      <c r="F2" s="812" t="s">
        <v>1068</v>
      </c>
    </row>
    <row r="3" spans="1:6" s="21" customFormat="1" ht="15.75">
      <c r="A3" s="200">
        <v>10902</v>
      </c>
      <c r="B3" s="200" t="s">
        <v>730</v>
      </c>
      <c r="C3" s="192"/>
      <c r="D3" s="565"/>
      <c r="E3" s="574"/>
      <c r="F3" s="852"/>
    </row>
    <row r="4" spans="1:6" s="21" customFormat="1" ht="15.75">
      <c r="A4" s="202">
        <v>2200000</v>
      </c>
      <c r="B4" s="64" t="s">
        <v>679</v>
      </c>
      <c r="C4" s="192"/>
      <c r="D4" s="565"/>
      <c r="E4" s="574"/>
      <c r="F4" s="852"/>
    </row>
    <row r="5" spans="1:6" ht="15.75">
      <c r="A5" s="99"/>
      <c r="B5" s="101" t="s">
        <v>21</v>
      </c>
      <c r="C5" s="208"/>
      <c r="D5" s="566"/>
      <c r="E5" s="575"/>
      <c r="F5" s="845"/>
    </row>
    <row r="6" spans="1:6" ht="15.75">
      <c r="A6" s="99" t="s">
        <v>19</v>
      </c>
      <c r="B6" s="99" t="s">
        <v>20</v>
      </c>
      <c r="C6" s="60">
        <v>0</v>
      </c>
      <c r="D6" s="566"/>
      <c r="E6" s="575">
        <f>C6+D6</f>
        <v>0</v>
      </c>
      <c r="F6" s="845"/>
    </row>
    <row r="7" spans="1:6" ht="15.75">
      <c r="A7" s="99" t="s">
        <v>22</v>
      </c>
      <c r="B7" s="99" t="s">
        <v>23</v>
      </c>
      <c r="C7" s="60">
        <v>0</v>
      </c>
      <c r="D7" s="566"/>
      <c r="E7" s="575">
        <f>C7+D7</f>
        <v>0</v>
      </c>
      <c r="F7" s="845"/>
    </row>
    <row r="8" spans="1:6" ht="15.75">
      <c r="A8" s="6" t="s">
        <v>170</v>
      </c>
      <c r="B8" s="6"/>
      <c r="C8" s="61">
        <f>C6+C7</f>
        <v>0</v>
      </c>
      <c r="D8" s="486">
        <f>D6+D7</f>
        <v>0</v>
      </c>
      <c r="E8" s="486">
        <f>E6+E7</f>
        <v>0</v>
      </c>
      <c r="F8" s="486">
        <f>F6+F7</f>
        <v>0</v>
      </c>
    </row>
    <row r="9" spans="1:6" ht="15.75">
      <c r="A9" s="99"/>
      <c r="B9" s="101" t="s">
        <v>28</v>
      </c>
      <c r="C9" s="60"/>
      <c r="D9" s="566"/>
      <c r="E9" s="575"/>
      <c r="F9" s="845"/>
    </row>
    <row r="10" spans="1:6" ht="15.75">
      <c r="A10" s="99" t="s">
        <v>26</v>
      </c>
      <c r="B10" s="99" t="s">
        <v>27</v>
      </c>
      <c r="C10" s="60">
        <v>200000</v>
      </c>
      <c r="D10" s="566"/>
      <c r="E10" s="575">
        <f>C10+D10</f>
        <v>200000</v>
      </c>
      <c r="F10" s="833">
        <f>D10+E10</f>
        <v>200000</v>
      </c>
    </row>
    <row r="11" spans="1:6" ht="15.75">
      <c r="A11" s="99" t="s">
        <v>31</v>
      </c>
      <c r="B11" s="99" t="s">
        <v>32</v>
      </c>
      <c r="C11" s="60">
        <v>50000</v>
      </c>
      <c r="D11" s="566"/>
      <c r="E11" s="575">
        <f>C11+D11</f>
        <v>50000</v>
      </c>
      <c r="F11" s="833">
        <f>D11+E11</f>
        <v>50000</v>
      </c>
    </row>
    <row r="12" spans="1:6" ht="15.75">
      <c r="A12" s="6" t="s">
        <v>170</v>
      </c>
      <c r="B12" s="6"/>
      <c r="C12" s="61">
        <f>SUM(C10:C11)</f>
        <v>250000</v>
      </c>
      <c r="D12" s="486">
        <f>SUM(D10:D11)</f>
        <v>0</v>
      </c>
      <c r="E12" s="486">
        <f>SUM(E10:E11)</f>
        <v>250000</v>
      </c>
      <c r="F12" s="486">
        <f>SUM(F10:F11)</f>
        <v>250000</v>
      </c>
    </row>
    <row r="13" spans="1:6" ht="15.75">
      <c r="A13" s="99"/>
      <c r="B13" s="101" t="s">
        <v>35</v>
      </c>
      <c r="C13" s="60"/>
      <c r="D13" s="566"/>
      <c r="E13" s="575"/>
      <c r="F13" s="845"/>
    </row>
    <row r="14" spans="1:6" ht="15.75">
      <c r="A14" s="99" t="s">
        <v>33</v>
      </c>
      <c r="B14" s="99" t="s">
        <v>34</v>
      </c>
      <c r="C14" s="60">
        <v>500000</v>
      </c>
      <c r="D14" s="566"/>
      <c r="E14" s="575">
        <f>C14+D14</f>
        <v>500000</v>
      </c>
      <c r="F14" s="833">
        <v>500000</v>
      </c>
    </row>
    <row r="15" spans="1:6" ht="15.75">
      <c r="A15" s="99" t="s">
        <v>36</v>
      </c>
      <c r="B15" s="99" t="s">
        <v>37</v>
      </c>
      <c r="C15" s="60">
        <v>2000000</v>
      </c>
      <c r="D15" s="566"/>
      <c r="E15" s="575">
        <f>C15+D15</f>
        <v>2000000</v>
      </c>
      <c r="F15" s="833">
        <v>2000000</v>
      </c>
    </row>
    <row r="16" spans="1:6" ht="15.75">
      <c r="A16" s="99" t="s">
        <v>38</v>
      </c>
      <c r="B16" s="99" t="s">
        <v>39</v>
      </c>
      <c r="C16" s="60">
        <v>2000000</v>
      </c>
      <c r="D16" s="566"/>
      <c r="E16" s="575">
        <f>C16+D16</f>
        <v>2000000</v>
      </c>
      <c r="F16" s="833">
        <v>2000000</v>
      </c>
    </row>
    <row r="17" spans="1:6" ht="15.75">
      <c r="A17" s="6" t="s">
        <v>170</v>
      </c>
      <c r="B17" s="6"/>
      <c r="C17" s="61">
        <f>SUM(C14:C16)</f>
        <v>4500000</v>
      </c>
      <c r="D17" s="486">
        <f>SUM(D14:D16)</f>
        <v>0</v>
      </c>
      <c r="E17" s="486">
        <f>SUM(E14:E16)</f>
        <v>4500000</v>
      </c>
      <c r="F17" s="486">
        <f>SUM(F14:F16)</f>
        <v>4500000</v>
      </c>
    </row>
    <row r="18" spans="1:6" ht="15.75">
      <c r="A18" s="99"/>
      <c r="B18" s="101" t="s">
        <v>50</v>
      </c>
      <c r="C18" s="60"/>
      <c r="D18" s="566"/>
      <c r="E18" s="575"/>
      <c r="F18" s="845"/>
    </row>
    <row r="19" spans="1:6" ht="15.75">
      <c r="A19" s="99" t="s">
        <v>51</v>
      </c>
      <c r="B19" s="99" t="s">
        <v>52</v>
      </c>
      <c r="C19" s="60">
        <v>1000000</v>
      </c>
      <c r="D19" s="566"/>
      <c r="E19" s="575">
        <f>C19+D19</f>
        <v>1000000</v>
      </c>
      <c r="F19" s="833">
        <v>1000000</v>
      </c>
    </row>
    <row r="20" spans="1:6" ht="15.75">
      <c r="A20" s="99" t="s">
        <v>55</v>
      </c>
      <c r="B20" s="99" t="s">
        <v>56</v>
      </c>
      <c r="C20" s="60">
        <v>500000</v>
      </c>
      <c r="D20" s="566"/>
      <c r="E20" s="575">
        <f>C20+D20</f>
        <v>500000</v>
      </c>
      <c r="F20" s="833">
        <v>500000</v>
      </c>
    </row>
    <row r="21" spans="1:6" ht="15.75">
      <c r="A21" s="6" t="s">
        <v>170</v>
      </c>
      <c r="B21" s="6"/>
      <c r="C21" s="61">
        <f>SUM(C19:C20)</f>
        <v>1500000</v>
      </c>
      <c r="D21" s="486">
        <f>SUM(D19:D20)</f>
        <v>0</v>
      </c>
      <c r="E21" s="486">
        <f>SUM(E19:E20)</f>
        <v>1500000</v>
      </c>
      <c r="F21" s="486">
        <f>SUM(F19:F20)</f>
        <v>1500000</v>
      </c>
    </row>
    <row r="22" spans="1:6" ht="15.75">
      <c r="A22" s="99"/>
      <c r="B22" s="101" t="s">
        <v>68</v>
      </c>
      <c r="C22" s="60"/>
      <c r="D22" s="566"/>
      <c r="E22" s="575"/>
      <c r="F22" s="845"/>
    </row>
    <row r="23" spans="1:6" ht="15.75">
      <c r="A23" s="99" t="s">
        <v>66</v>
      </c>
      <c r="B23" s="99" t="s">
        <v>67</v>
      </c>
      <c r="C23" s="60">
        <v>500000</v>
      </c>
      <c r="D23" s="566"/>
      <c r="E23" s="575">
        <f>C23+D23</f>
        <v>500000</v>
      </c>
      <c r="F23" s="833">
        <v>500000</v>
      </c>
    </row>
    <row r="24" spans="1:6" ht="15.75">
      <c r="A24" s="99" t="s">
        <v>69</v>
      </c>
      <c r="B24" s="99" t="s">
        <v>70</v>
      </c>
      <c r="C24" s="60">
        <v>500000</v>
      </c>
      <c r="D24" s="566"/>
      <c r="E24" s="575">
        <f>C24+D24</f>
        <v>500000</v>
      </c>
      <c r="F24" s="833">
        <v>0</v>
      </c>
    </row>
    <row r="25" spans="1:6" ht="15.75">
      <c r="A25" s="99" t="s">
        <v>75</v>
      </c>
      <c r="B25" s="99" t="s">
        <v>76</v>
      </c>
      <c r="C25" s="60">
        <v>500000</v>
      </c>
      <c r="D25" s="566"/>
      <c r="E25" s="575">
        <f>C25+D25</f>
        <v>500000</v>
      </c>
      <c r="F25" s="833">
        <v>500000</v>
      </c>
    </row>
    <row r="26" spans="1:6" ht="15.75">
      <c r="A26" s="99" t="s">
        <v>80</v>
      </c>
      <c r="B26" s="99" t="s">
        <v>81</v>
      </c>
      <c r="C26" s="60">
        <v>700000</v>
      </c>
      <c r="D26" s="566"/>
      <c r="E26" s="575">
        <f>C26+D26</f>
        <v>700000</v>
      </c>
      <c r="F26" s="833"/>
    </row>
    <row r="27" spans="1:6" s="504" customFormat="1" ht="15.75">
      <c r="A27" s="505"/>
      <c r="B27" s="505" t="s">
        <v>68</v>
      </c>
      <c r="C27" s="508"/>
      <c r="D27" s="575"/>
      <c r="E27" s="575"/>
      <c r="F27" s="833">
        <v>700000</v>
      </c>
    </row>
    <row r="28" spans="1:6" ht="15.75">
      <c r="A28" s="6" t="s">
        <v>170</v>
      </c>
      <c r="B28" s="6"/>
      <c r="C28" s="61">
        <f>SUM(C23:C26)</f>
        <v>2200000</v>
      </c>
      <c r="D28" s="486">
        <f>SUM(D23:D26)</f>
        <v>0</v>
      </c>
      <c r="E28" s="486">
        <f>SUM(E23:E26)</f>
        <v>2200000</v>
      </c>
      <c r="F28" s="486">
        <f>SUM(F23:F27)</f>
        <v>1700000</v>
      </c>
    </row>
    <row r="29" spans="1:6" ht="15.75">
      <c r="A29" s="99"/>
      <c r="B29" s="101" t="s">
        <v>101</v>
      </c>
      <c r="C29" s="60"/>
      <c r="D29" s="566"/>
      <c r="E29" s="575"/>
      <c r="F29" s="845"/>
    </row>
    <row r="30" spans="1:6" ht="15.75">
      <c r="A30" s="99" t="s">
        <v>473</v>
      </c>
      <c r="B30" s="99" t="s">
        <v>474</v>
      </c>
      <c r="C30" s="60">
        <v>2000000</v>
      </c>
      <c r="D30" s="566"/>
      <c r="E30" s="575">
        <f>C30+D30</f>
        <v>2000000</v>
      </c>
      <c r="F30" s="845">
        <v>1000000</v>
      </c>
    </row>
    <row r="31" spans="1:6" ht="15.75">
      <c r="A31" s="6" t="s">
        <v>170</v>
      </c>
      <c r="B31" s="6"/>
      <c r="C31" s="61">
        <f>SUM(C30)</f>
        <v>2000000</v>
      </c>
      <c r="D31" s="486">
        <f>SUM(D30)</f>
        <v>0</v>
      </c>
      <c r="E31" s="486">
        <f>SUM(E30)</f>
        <v>2000000</v>
      </c>
      <c r="F31" s="486">
        <f>SUM(F30)</f>
        <v>1000000</v>
      </c>
    </row>
    <row r="32" spans="1:6" ht="15.75">
      <c r="A32" s="99"/>
      <c r="B32" s="101" t="s">
        <v>131</v>
      </c>
      <c r="C32" s="60"/>
      <c r="D32" s="566"/>
      <c r="E32" s="575"/>
      <c r="F32" s="845"/>
    </row>
    <row r="33" spans="1:6" ht="15.75">
      <c r="A33" s="99" t="s">
        <v>129</v>
      </c>
      <c r="B33" s="99" t="s">
        <v>130</v>
      </c>
      <c r="C33" s="60">
        <v>1500000</v>
      </c>
      <c r="D33" s="566"/>
      <c r="E33" s="575">
        <f>C33+D33</f>
        <v>1500000</v>
      </c>
      <c r="F33" s="845">
        <v>1000000</v>
      </c>
    </row>
    <row r="34" spans="1:6" ht="15.75">
      <c r="A34" s="6" t="s">
        <v>170</v>
      </c>
      <c r="B34" s="6"/>
      <c r="C34" s="61">
        <f>SUM(C33)</f>
        <v>1500000</v>
      </c>
      <c r="D34" s="61">
        <f>SUM(D33)</f>
        <v>0</v>
      </c>
      <c r="E34" s="788">
        <f>SUM(E33)</f>
        <v>1500000</v>
      </c>
      <c r="F34" s="486">
        <f>SUM(F33)</f>
        <v>1000000</v>
      </c>
    </row>
    <row r="35" spans="1:6" ht="15.75">
      <c r="A35" s="99"/>
      <c r="B35" s="101" t="s">
        <v>136</v>
      </c>
      <c r="C35" s="60"/>
      <c r="D35" s="566"/>
      <c r="E35" s="575"/>
      <c r="F35" s="845"/>
    </row>
    <row r="36" spans="1:6" s="106" customFormat="1" ht="15.75">
      <c r="A36" s="56"/>
      <c r="B36" s="56" t="s">
        <v>977</v>
      </c>
      <c r="C36" s="63">
        <v>20000000</v>
      </c>
      <c r="D36" s="567">
        <v>-20000000</v>
      </c>
      <c r="E36" s="576">
        <f>C36+D36</f>
        <v>0</v>
      </c>
      <c r="F36" s="828">
        <v>20000000</v>
      </c>
    </row>
    <row r="37" spans="1:6" s="106" customFormat="1" ht="15.75">
      <c r="A37" s="85">
        <v>3111001</v>
      </c>
      <c r="B37" s="56" t="s">
        <v>200</v>
      </c>
      <c r="C37" s="63">
        <v>1000000</v>
      </c>
      <c r="D37" s="576">
        <f>-1000000+1000000</f>
        <v>0</v>
      </c>
      <c r="E37" s="576">
        <f>C37+D37</f>
        <v>1000000</v>
      </c>
      <c r="F37" s="828">
        <v>0</v>
      </c>
    </row>
    <row r="38" spans="1:6" s="106" customFormat="1" ht="15.75">
      <c r="A38" s="99" t="s">
        <v>143</v>
      </c>
      <c r="B38" s="56" t="s">
        <v>978</v>
      </c>
      <c r="C38" s="63">
        <v>2000000</v>
      </c>
      <c r="D38" s="576">
        <v>-1000000</v>
      </c>
      <c r="E38" s="576">
        <f>C38+D38</f>
        <v>1000000</v>
      </c>
      <c r="F38" s="828">
        <v>0</v>
      </c>
    </row>
    <row r="39" spans="1:6" s="106" customFormat="1" ht="15.75">
      <c r="A39" s="505"/>
      <c r="B39" s="56" t="s">
        <v>1090</v>
      </c>
      <c r="C39" s="63"/>
      <c r="D39" s="800"/>
      <c r="E39" s="800"/>
      <c r="F39" s="828">
        <v>4500000</v>
      </c>
    </row>
    <row r="40" spans="1:6" s="106" customFormat="1" ht="15.75">
      <c r="A40" s="505"/>
      <c r="B40" s="66" t="s">
        <v>1106</v>
      </c>
      <c r="C40" s="63"/>
      <c r="D40" s="800"/>
      <c r="E40" s="800"/>
      <c r="F40" s="828">
        <v>1000000</v>
      </c>
    </row>
    <row r="41" spans="1:6" s="106" customFormat="1" ht="15.75">
      <c r="A41" s="505"/>
      <c r="B41" s="66" t="s">
        <v>1107</v>
      </c>
      <c r="C41" s="63"/>
      <c r="D41" s="800"/>
      <c r="E41" s="800"/>
      <c r="F41" s="828">
        <v>1000000</v>
      </c>
    </row>
    <row r="42" spans="1:6" s="106" customFormat="1" ht="15.75">
      <c r="A42" s="505"/>
      <c r="B42" s="66" t="s">
        <v>1108</v>
      </c>
      <c r="C42" s="63"/>
      <c r="D42" s="800"/>
      <c r="E42" s="800"/>
      <c r="F42" s="828">
        <v>2500000</v>
      </c>
    </row>
    <row r="43" spans="1:6" s="106" customFormat="1" ht="15.75">
      <c r="A43" s="505"/>
      <c r="B43" s="66" t="s">
        <v>1109</v>
      </c>
      <c r="C43" s="63"/>
      <c r="D43" s="800"/>
      <c r="E43" s="800"/>
      <c r="F43" s="828">
        <v>1000000</v>
      </c>
    </row>
    <row r="44" spans="1:6" s="106" customFormat="1" ht="15.75">
      <c r="A44" s="505"/>
      <c r="B44" s="66" t="s">
        <v>1110</v>
      </c>
      <c r="C44" s="63"/>
      <c r="D44" s="800"/>
      <c r="E44" s="800"/>
      <c r="F44" s="828">
        <v>500000</v>
      </c>
    </row>
    <row r="45" spans="1:6" s="106" customFormat="1" ht="15.75">
      <c r="A45" s="505"/>
      <c r="B45" s="66" t="s">
        <v>1111</v>
      </c>
      <c r="C45" s="63"/>
      <c r="D45" s="800"/>
      <c r="E45" s="800"/>
      <c r="F45" s="828">
        <v>1000000</v>
      </c>
    </row>
    <row r="46" spans="1:6" ht="15.75">
      <c r="A46" s="6" t="s">
        <v>170</v>
      </c>
      <c r="B46" s="6"/>
      <c r="C46" s="61">
        <f>SUM(C36:C38)</f>
        <v>23000000</v>
      </c>
      <c r="D46" s="61">
        <f>SUM(D36:D38)</f>
        <v>-21000000</v>
      </c>
      <c r="E46" s="788">
        <f>SUM(E36:E45)</f>
        <v>2000000</v>
      </c>
      <c r="F46" s="486">
        <f>SUM(F36:F45)</f>
        <v>31500000</v>
      </c>
    </row>
    <row r="47" spans="1:6" ht="15.75">
      <c r="A47" s="99"/>
      <c r="B47" s="101" t="s">
        <v>151</v>
      </c>
      <c r="C47" s="60"/>
      <c r="D47" s="566"/>
      <c r="E47" s="575"/>
      <c r="F47" s="845"/>
    </row>
    <row r="48" spans="1:6" ht="15.75">
      <c r="A48" s="99" t="s">
        <v>149</v>
      </c>
      <c r="B48" s="99" t="s">
        <v>150</v>
      </c>
      <c r="C48" s="60">
        <v>1000000</v>
      </c>
      <c r="D48" s="566"/>
      <c r="E48" s="575">
        <f>C48+D48</f>
        <v>1000000</v>
      </c>
      <c r="F48" s="833">
        <v>1000000</v>
      </c>
    </row>
    <row r="49" spans="1:6" ht="15.75">
      <c r="A49" s="6" t="s">
        <v>170</v>
      </c>
      <c r="B49" s="6"/>
      <c r="C49" s="61">
        <f>SUM(C48)</f>
        <v>1000000</v>
      </c>
      <c r="D49" s="486">
        <f>SUM(D48)</f>
        <v>0</v>
      </c>
      <c r="E49" s="486">
        <f>SUM(E48)</f>
        <v>1000000</v>
      </c>
      <c r="F49" s="486">
        <f>SUM(F48)</f>
        <v>1000000</v>
      </c>
    </row>
    <row r="50" spans="1:6" ht="15.75">
      <c r="A50" s="6" t="s">
        <v>171</v>
      </c>
      <c r="B50" s="6"/>
      <c r="C50" s="61">
        <f>SUM(C8,C12,C17,C21,C28,C31,C34,C46,C49)</f>
        <v>35950000</v>
      </c>
      <c r="D50" s="61">
        <f>SUM(D8,D12,D17,D21,D28,D31,D34,D46,D49)</f>
        <v>-21000000</v>
      </c>
      <c r="E50" s="788">
        <f>SUM(E8,E12,E17,E21,E28,E31,E34,E46,E49)</f>
        <v>14950000</v>
      </c>
      <c r="F50" s="486">
        <f>SUM(F8,F12,F17,F21,F28,F31,F34,F46,F49)</f>
        <v>42450000</v>
      </c>
    </row>
    <row r="51" spans="1:6" ht="15.75">
      <c r="A51" s="6" t="s">
        <v>172</v>
      </c>
      <c r="B51" s="6"/>
      <c r="C51" s="61">
        <f>C50</f>
        <v>35950000</v>
      </c>
      <c r="D51" s="61">
        <f>D50</f>
        <v>-21000000</v>
      </c>
      <c r="E51" s="788">
        <f>E50</f>
        <v>14950000</v>
      </c>
      <c r="F51" s="486">
        <f>F50</f>
        <v>42450000</v>
      </c>
    </row>
    <row r="52" ht="15.75">
      <c r="D52" s="564">
        <f>C50+D50</f>
        <v>14950000</v>
      </c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110"/>
  <sheetViews>
    <sheetView view="pageBreakPreview" zoomScale="130" zoomScaleSheetLayoutView="130" zoomScalePageLayoutView="0" workbookViewId="0" topLeftCell="A1">
      <pane ySplit="2" topLeftCell="A88" activePane="bottomLeft" state="frozen"/>
      <selection pane="topLeft" activeCell="A1" sqref="A1"/>
      <selection pane="bottomLeft" activeCell="F70" sqref="F70"/>
    </sheetView>
  </sheetViews>
  <sheetFormatPr defaultColWidth="9.140625" defaultRowHeight="15"/>
  <cols>
    <col min="1" max="1" width="11.140625" style="181" customWidth="1"/>
    <col min="2" max="2" width="69.7109375" style="0" customWidth="1"/>
    <col min="3" max="3" width="15.421875" style="0" hidden="1" customWidth="1"/>
    <col min="4" max="4" width="16.421875" style="519" hidden="1" customWidth="1"/>
    <col min="5" max="5" width="18.57421875" style="826" customWidth="1"/>
    <col min="6" max="6" width="24.7109375" style="0" customWidth="1"/>
  </cols>
  <sheetData>
    <row r="1" spans="1:3" ht="15.75">
      <c r="A1" s="921" t="s">
        <v>396</v>
      </c>
      <c r="B1" s="922"/>
      <c r="C1" s="929"/>
    </row>
    <row r="2" spans="1:6" s="21" customFormat="1" ht="67.5" customHeight="1">
      <c r="A2" s="917" t="s">
        <v>168</v>
      </c>
      <c r="B2" s="918"/>
      <c r="C2" s="192" t="s">
        <v>996</v>
      </c>
      <c r="D2" s="490" t="s">
        <v>995</v>
      </c>
      <c r="E2" s="858" t="s">
        <v>1066</v>
      </c>
      <c r="F2" s="859" t="s">
        <v>1068</v>
      </c>
    </row>
    <row r="3" spans="1:6" s="146" customFormat="1" ht="21" customHeight="1">
      <c r="A3" s="135">
        <v>11101</v>
      </c>
      <c r="B3" s="200" t="s">
        <v>680</v>
      </c>
      <c r="C3" s="109"/>
      <c r="D3" s="529"/>
      <c r="E3" s="529"/>
      <c r="F3" s="789"/>
    </row>
    <row r="4" spans="1:6" s="21" customFormat="1" ht="20.25" customHeight="1">
      <c r="A4" s="200">
        <v>2100000</v>
      </c>
      <c r="B4" s="200" t="s">
        <v>678</v>
      </c>
      <c r="C4" s="147"/>
      <c r="D4" s="520"/>
      <c r="E4" s="574"/>
      <c r="F4" s="416"/>
    </row>
    <row r="5" spans="1:6" ht="15.75">
      <c r="A5" s="135"/>
      <c r="B5" s="101" t="s">
        <v>2</v>
      </c>
      <c r="C5" s="105"/>
      <c r="D5" s="518"/>
      <c r="E5" s="833"/>
      <c r="F5" s="201"/>
    </row>
    <row r="6" spans="1:6" ht="15.75">
      <c r="A6" s="12" t="s">
        <v>0</v>
      </c>
      <c r="B6" s="5" t="s">
        <v>1</v>
      </c>
      <c r="C6" s="372">
        <v>20418500</v>
      </c>
      <c r="D6" s="518"/>
      <c r="E6" s="833">
        <f>C6+D6</f>
        <v>20418500</v>
      </c>
      <c r="F6" s="808">
        <v>21235240</v>
      </c>
    </row>
    <row r="7" spans="1:6" ht="15.75">
      <c r="A7" s="140" t="s">
        <v>170</v>
      </c>
      <c r="B7" s="6"/>
      <c r="C7" s="373">
        <f>SUM(C6)</f>
        <v>20418500</v>
      </c>
      <c r="D7" s="492">
        <f>SUM(D6)</f>
        <v>0</v>
      </c>
      <c r="E7" s="492">
        <f>SUM(E6)</f>
        <v>20418500</v>
      </c>
      <c r="F7" s="479">
        <f>SUM(F6)</f>
        <v>21235240</v>
      </c>
    </row>
    <row r="8" spans="1:6" ht="15.75">
      <c r="A8" s="12"/>
      <c r="B8" s="101" t="s">
        <v>5</v>
      </c>
      <c r="C8" s="372"/>
      <c r="D8" s="518"/>
      <c r="E8" s="833"/>
      <c r="F8" s="201"/>
    </row>
    <row r="9" spans="1:6" ht="15.75">
      <c r="A9" s="12" t="s">
        <v>3</v>
      </c>
      <c r="B9" s="99" t="s">
        <v>4</v>
      </c>
      <c r="C9" s="372">
        <v>5800000</v>
      </c>
      <c r="D9" s="518"/>
      <c r="E9" s="833">
        <f>C9+D9</f>
        <v>5800000</v>
      </c>
      <c r="F9" s="575">
        <v>6032000</v>
      </c>
    </row>
    <row r="10" spans="1:6" ht="15.75">
      <c r="A10" s="12" t="s">
        <v>10</v>
      </c>
      <c r="B10" s="99" t="s">
        <v>11</v>
      </c>
      <c r="C10" s="372">
        <v>2500000</v>
      </c>
      <c r="D10" s="518"/>
      <c r="E10" s="833">
        <f>C10+D10</f>
        <v>2500000</v>
      </c>
      <c r="F10" s="833">
        <v>2600000</v>
      </c>
    </row>
    <row r="11" spans="1:6" ht="15.75">
      <c r="A11" s="12" t="s">
        <v>397</v>
      </c>
      <c r="B11" s="99" t="s">
        <v>398</v>
      </c>
      <c r="C11" s="372">
        <v>1000000</v>
      </c>
      <c r="D11" s="518"/>
      <c r="E11" s="833">
        <f>C11+D11</f>
        <v>1000000</v>
      </c>
      <c r="F11" s="833">
        <v>1040000</v>
      </c>
    </row>
    <row r="12" spans="1:6" ht="15.75">
      <c r="A12" s="140" t="s">
        <v>170</v>
      </c>
      <c r="B12" s="6"/>
      <c r="C12" s="7">
        <f>SUM(C9:C11)</f>
        <v>9300000</v>
      </c>
      <c r="D12" s="492">
        <f>SUM(D9:D11)</f>
        <v>0</v>
      </c>
      <c r="E12" s="492">
        <f>SUM(E9:E11)</f>
        <v>9300000</v>
      </c>
      <c r="F12" s="479">
        <f>SUM(F9:F11)</f>
        <v>9672000</v>
      </c>
    </row>
    <row r="13" spans="1:6" ht="15.75">
      <c r="A13" s="140" t="s">
        <v>173</v>
      </c>
      <c r="B13" s="6"/>
      <c r="C13" s="7">
        <f>SUM(C7,C12)</f>
        <v>29718500</v>
      </c>
      <c r="D13" s="492">
        <f>SUM(D7,D12)</f>
        <v>0</v>
      </c>
      <c r="E13" s="492">
        <f>SUM(E7,E12)</f>
        <v>29718500</v>
      </c>
      <c r="F13" s="479">
        <f>SUM(F7,F12)</f>
        <v>30907240</v>
      </c>
    </row>
    <row r="14" spans="1:6" s="2" customFormat="1" ht="15.75">
      <c r="A14" s="202">
        <v>2200000</v>
      </c>
      <c r="B14" s="64" t="s">
        <v>679</v>
      </c>
      <c r="C14" s="67"/>
      <c r="D14" s="522"/>
      <c r="E14" s="828"/>
      <c r="F14" s="417"/>
    </row>
    <row r="15" spans="1:6" ht="15.75">
      <c r="A15" s="12"/>
      <c r="B15" s="101" t="s">
        <v>21</v>
      </c>
      <c r="C15" s="100"/>
      <c r="D15" s="518"/>
      <c r="E15" s="833"/>
      <c r="F15" s="201"/>
    </row>
    <row r="16" spans="1:6" ht="15.75">
      <c r="A16" s="12" t="s">
        <v>19</v>
      </c>
      <c r="B16" s="99" t="s">
        <v>20</v>
      </c>
      <c r="C16" s="100">
        <v>499904</v>
      </c>
      <c r="D16" s="518"/>
      <c r="E16" s="833">
        <f>C16+D16</f>
        <v>499904</v>
      </c>
      <c r="F16" s="808">
        <v>1000000</v>
      </c>
    </row>
    <row r="17" spans="1:6" ht="15.75">
      <c r="A17" s="12" t="s">
        <v>22</v>
      </c>
      <c r="B17" s="99" t="s">
        <v>23</v>
      </c>
      <c r="C17" s="100">
        <v>80000</v>
      </c>
      <c r="D17" s="518"/>
      <c r="E17" s="833">
        <f>C17+D17</f>
        <v>80000</v>
      </c>
      <c r="F17" s="201"/>
    </row>
    <row r="18" spans="1:6" ht="15.75">
      <c r="A18" s="140" t="s">
        <v>170</v>
      </c>
      <c r="B18" s="6"/>
      <c r="C18" s="7">
        <f>SUM(C16:C17)</f>
        <v>579904</v>
      </c>
      <c r="D18" s="492">
        <f>SUM(D16:D17)</f>
        <v>0</v>
      </c>
      <c r="E18" s="492">
        <f>SUM(E16:E17)</f>
        <v>579904</v>
      </c>
      <c r="F18" s="479">
        <f>SUM(F16:F17)</f>
        <v>1000000</v>
      </c>
    </row>
    <row r="19" spans="1:6" ht="15.75">
      <c r="A19" s="12"/>
      <c r="B19" s="101" t="s">
        <v>28</v>
      </c>
      <c r="C19" s="100"/>
      <c r="D19" s="518"/>
      <c r="E19" s="833"/>
      <c r="F19" s="201"/>
    </row>
    <row r="20" spans="1:6" ht="15.75">
      <c r="A20" s="12" t="s">
        <v>26</v>
      </c>
      <c r="B20" s="99" t="s">
        <v>27</v>
      </c>
      <c r="C20" s="100">
        <v>50000</v>
      </c>
      <c r="D20" s="518"/>
      <c r="E20" s="833">
        <f>C20+D20</f>
        <v>50000</v>
      </c>
      <c r="F20" s="808">
        <v>50000</v>
      </c>
    </row>
    <row r="21" spans="1:6" ht="15.75">
      <c r="A21" s="12" t="s">
        <v>29</v>
      </c>
      <c r="B21" s="99" t="s">
        <v>30</v>
      </c>
      <c r="C21" s="100">
        <v>10000</v>
      </c>
      <c r="D21" s="518"/>
      <c r="E21" s="833">
        <f>C21+D21</f>
        <v>10000</v>
      </c>
      <c r="F21" s="808">
        <v>50000</v>
      </c>
    </row>
    <row r="22" spans="1:6" ht="15.75">
      <c r="A22" s="140" t="s">
        <v>170</v>
      </c>
      <c r="B22" s="6"/>
      <c r="C22" s="7">
        <f>SUM(C20:C21)</f>
        <v>60000</v>
      </c>
      <c r="D22" s="492">
        <f>SUM(D20:D21)</f>
        <v>0</v>
      </c>
      <c r="E22" s="492">
        <f>SUM(E20:E21)</f>
        <v>60000</v>
      </c>
      <c r="F22" s="479">
        <f>SUM(F20:F21)</f>
        <v>100000</v>
      </c>
    </row>
    <row r="23" spans="1:6" ht="15.75">
      <c r="A23" s="12"/>
      <c r="B23" s="101" t="s">
        <v>35</v>
      </c>
      <c r="C23" s="100"/>
      <c r="D23" s="518"/>
      <c r="E23" s="833"/>
      <c r="F23" s="201"/>
    </row>
    <row r="24" spans="1:6" ht="15.75">
      <c r="A24" s="12" t="s">
        <v>33</v>
      </c>
      <c r="B24" s="99" t="s">
        <v>34</v>
      </c>
      <c r="C24" s="100">
        <v>200000</v>
      </c>
      <c r="D24" s="518"/>
      <c r="E24" s="833">
        <f>C24+D24</f>
        <v>200000</v>
      </c>
      <c r="F24" s="808">
        <v>100000</v>
      </c>
    </row>
    <row r="25" spans="1:6" ht="15.75">
      <c r="A25" s="12" t="s">
        <v>36</v>
      </c>
      <c r="B25" s="99" t="s">
        <v>37</v>
      </c>
      <c r="C25" s="100">
        <v>1500000</v>
      </c>
      <c r="D25" s="518"/>
      <c r="E25" s="833">
        <f>C25+D25</f>
        <v>1500000</v>
      </c>
      <c r="F25" s="808">
        <v>800000</v>
      </c>
    </row>
    <row r="26" spans="1:6" ht="15.75">
      <c r="A26" s="12" t="s">
        <v>38</v>
      </c>
      <c r="B26" s="99" t="s">
        <v>39</v>
      </c>
      <c r="C26" s="100">
        <v>1000000</v>
      </c>
      <c r="D26" s="518"/>
      <c r="E26" s="833">
        <f>C26+D26</f>
        <v>1000000</v>
      </c>
      <c r="F26" s="808">
        <v>1600000</v>
      </c>
    </row>
    <row r="27" spans="1:6" ht="15.75">
      <c r="A27" s="12" t="s">
        <v>40</v>
      </c>
      <c r="B27" s="99" t="s">
        <v>41</v>
      </c>
      <c r="C27" s="100">
        <v>100000</v>
      </c>
      <c r="D27" s="518"/>
      <c r="E27" s="833">
        <f>C27+D27</f>
        <v>100000</v>
      </c>
      <c r="F27" s="808">
        <v>100000</v>
      </c>
    </row>
    <row r="28" spans="1:6" ht="15.75">
      <c r="A28" s="140" t="s">
        <v>170</v>
      </c>
      <c r="B28" s="6"/>
      <c r="C28" s="7">
        <f>SUM(C24:C27)</f>
        <v>2800000</v>
      </c>
      <c r="D28" s="492">
        <f>SUM(D24:D27)</f>
        <v>0</v>
      </c>
      <c r="E28" s="492">
        <f>SUM(E24:E27)</f>
        <v>2800000</v>
      </c>
      <c r="F28" s="479">
        <f>SUM(F24:F27)</f>
        <v>2600000</v>
      </c>
    </row>
    <row r="29" spans="1:6" ht="15.75">
      <c r="A29" s="12"/>
      <c r="B29" s="101" t="s">
        <v>44</v>
      </c>
      <c r="C29" s="100"/>
      <c r="D29" s="518"/>
      <c r="E29" s="833"/>
      <c r="F29" s="201"/>
    </row>
    <row r="30" spans="1:6" ht="15.75">
      <c r="A30" s="12" t="s">
        <v>42</v>
      </c>
      <c r="B30" s="99" t="s">
        <v>43</v>
      </c>
      <c r="C30" s="100">
        <v>100000</v>
      </c>
      <c r="D30" s="518"/>
      <c r="E30" s="833">
        <f>C30+D30</f>
        <v>100000</v>
      </c>
      <c r="F30" s="808">
        <v>100000</v>
      </c>
    </row>
    <row r="31" spans="1:6" ht="15.75">
      <c r="A31" s="12" t="s">
        <v>45</v>
      </c>
      <c r="B31" s="99" t="s">
        <v>46</v>
      </c>
      <c r="C31" s="100">
        <v>200000</v>
      </c>
      <c r="D31" s="518"/>
      <c r="E31" s="833">
        <f>C31+D31</f>
        <v>200000</v>
      </c>
      <c r="F31" s="808">
        <v>100000</v>
      </c>
    </row>
    <row r="32" spans="1:6" ht="15.75">
      <c r="A32" s="12" t="s">
        <v>47</v>
      </c>
      <c r="B32" s="99" t="s">
        <v>39</v>
      </c>
      <c r="C32" s="100">
        <v>100000</v>
      </c>
      <c r="D32" s="518"/>
      <c r="E32" s="833">
        <f>C32+D32</f>
        <v>100000</v>
      </c>
      <c r="F32" s="808">
        <v>100000</v>
      </c>
    </row>
    <row r="33" spans="1:6" ht="15.75">
      <c r="A33" s="12" t="s">
        <v>48</v>
      </c>
      <c r="B33" s="99" t="s">
        <v>49</v>
      </c>
      <c r="C33" s="100">
        <v>100000</v>
      </c>
      <c r="D33" s="518"/>
      <c r="E33" s="833">
        <f>C33+D33</f>
        <v>100000</v>
      </c>
      <c r="F33" s="808">
        <v>100000</v>
      </c>
    </row>
    <row r="34" spans="1:6" ht="15.75">
      <c r="A34" s="140" t="s">
        <v>170</v>
      </c>
      <c r="B34" s="6"/>
      <c r="C34" s="7">
        <f>SUM(C30:C33)</f>
        <v>500000</v>
      </c>
      <c r="D34" s="492">
        <f>SUM(D30:D33)</f>
        <v>0</v>
      </c>
      <c r="E34" s="492">
        <f>SUM(E30:E33)</f>
        <v>500000</v>
      </c>
      <c r="F34" s="479">
        <f>SUM(F30:F33)</f>
        <v>400000</v>
      </c>
    </row>
    <row r="35" spans="1:6" ht="15.75">
      <c r="A35" s="12"/>
      <c r="B35" s="101" t="s">
        <v>50</v>
      </c>
      <c r="C35" s="100"/>
      <c r="D35" s="518"/>
      <c r="E35" s="833"/>
      <c r="F35" s="201"/>
    </row>
    <row r="36" spans="1:6" ht="15.75">
      <c r="A36" s="12" t="s">
        <v>51</v>
      </c>
      <c r="B36" s="99" t="s">
        <v>52</v>
      </c>
      <c r="C36" s="100">
        <v>300000</v>
      </c>
      <c r="D36" s="518"/>
      <c r="E36" s="833">
        <f>C36+D36</f>
        <v>300000</v>
      </c>
      <c r="F36" s="808">
        <v>100000</v>
      </c>
    </row>
    <row r="37" spans="1:6" ht="15.75">
      <c r="A37" s="12" t="s">
        <v>53</v>
      </c>
      <c r="B37" s="99" t="s">
        <v>54</v>
      </c>
      <c r="C37" s="100">
        <v>50000</v>
      </c>
      <c r="D37" s="518"/>
      <c r="E37" s="833">
        <f>C37+D37</f>
        <v>50000</v>
      </c>
      <c r="F37" s="808">
        <v>50000</v>
      </c>
    </row>
    <row r="38" spans="1:6" ht="15.75">
      <c r="A38" s="12" t="s">
        <v>55</v>
      </c>
      <c r="B38" s="99" t="s">
        <v>56</v>
      </c>
      <c r="C38" s="100">
        <v>250000</v>
      </c>
      <c r="D38" s="518">
        <v>100000</v>
      </c>
      <c r="E38" s="833">
        <f>C38+D38</f>
        <v>350000</v>
      </c>
      <c r="F38" s="808">
        <v>400000</v>
      </c>
    </row>
    <row r="39" spans="1:6" ht="15.75">
      <c r="A39" s="140" t="s">
        <v>170</v>
      </c>
      <c r="B39" s="6"/>
      <c r="C39" s="7">
        <f>SUM(C36:C38)</f>
        <v>600000</v>
      </c>
      <c r="D39" s="492">
        <f>SUM(D36:D38)</f>
        <v>100000</v>
      </c>
      <c r="E39" s="492">
        <f>SUM(E36:E38)</f>
        <v>700000</v>
      </c>
      <c r="F39" s="479">
        <f>SUM(F36:F38)</f>
        <v>550000</v>
      </c>
    </row>
    <row r="40" spans="1:6" ht="15.75">
      <c r="A40" s="12"/>
      <c r="B40" s="101" t="s">
        <v>59</v>
      </c>
      <c r="C40" s="100"/>
      <c r="D40" s="518"/>
      <c r="E40" s="833"/>
      <c r="F40" s="201"/>
    </row>
    <row r="41" spans="1:6" ht="15.75">
      <c r="A41" s="12" t="s">
        <v>62</v>
      </c>
      <c r="B41" s="99" t="s">
        <v>63</v>
      </c>
      <c r="C41" s="100">
        <v>300000</v>
      </c>
      <c r="D41" s="518"/>
      <c r="E41" s="833">
        <f>C41+D41</f>
        <v>300000</v>
      </c>
      <c r="F41" s="808">
        <v>100000</v>
      </c>
    </row>
    <row r="42" spans="1:6" ht="15.75">
      <c r="A42" s="12" t="s">
        <v>64</v>
      </c>
      <c r="B42" s="99" t="s">
        <v>65</v>
      </c>
      <c r="C42" s="100">
        <v>50000</v>
      </c>
      <c r="D42" s="518"/>
      <c r="E42" s="833">
        <f>C42+D42</f>
        <v>50000</v>
      </c>
      <c r="F42" s="808">
        <v>50000</v>
      </c>
    </row>
    <row r="43" spans="1:6" ht="15.75">
      <c r="A43" s="12">
        <v>2210606</v>
      </c>
      <c r="B43" s="99" t="s">
        <v>399</v>
      </c>
      <c r="C43" s="100">
        <v>250000</v>
      </c>
      <c r="D43" s="518"/>
      <c r="E43" s="833">
        <f>C43+D43</f>
        <v>250000</v>
      </c>
      <c r="F43" s="808">
        <v>100000</v>
      </c>
    </row>
    <row r="44" spans="1:6" ht="15.75">
      <c r="A44" s="140" t="s">
        <v>170</v>
      </c>
      <c r="B44" s="6"/>
      <c r="C44" s="7">
        <f>SUM(C41:C43)</f>
        <v>600000</v>
      </c>
      <c r="D44" s="492">
        <f>SUM(D41:D43)</f>
        <v>0</v>
      </c>
      <c r="E44" s="492">
        <f>SUM(E41:E43)</f>
        <v>600000</v>
      </c>
      <c r="F44" s="479">
        <f>SUM(F41:F43)</f>
        <v>250000</v>
      </c>
    </row>
    <row r="45" spans="1:6" ht="15.75">
      <c r="A45" s="12"/>
      <c r="B45" s="101" t="s">
        <v>68</v>
      </c>
      <c r="C45" s="100"/>
      <c r="D45" s="518"/>
      <c r="E45" s="833"/>
      <c r="F45" s="201"/>
    </row>
    <row r="46" spans="1:6" ht="15.75">
      <c r="A46" s="12" t="s">
        <v>66</v>
      </c>
      <c r="B46" s="99" t="s">
        <v>67</v>
      </c>
      <c r="C46" s="100">
        <v>200000</v>
      </c>
      <c r="D46" s="518"/>
      <c r="E46" s="833">
        <f>C46+D46</f>
        <v>200000</v>
      </c>
      <c r="F46" s="808">
        <v>150000</v>
      </c>
    </row>
    <row r="47" spans="1:6" ht="15.75">
      <c r="A47" s="12" t="s">
        <v>73</v>
      </c>
      <c r="B47" s="99" t="s">
        <v>74</v>
      </c>
      <c r="C47" s="100">
        <v>250000</v>
      </c>
      <c r="D47" s="518"/>
      <c r="E47" s="833">
        <f>C47+D47</f>
        <v>250000</v>
      </c>
      <c r="F47" s="808">
        <v>150000</v>
      </c>
    </row>
    <row r="48" spans="1:6" ht="15.75">
      <c r="A48" s="12">
        <v>2210715</v>
      </c>
      <c r="B48" s="99" t="s">
        <v>81</v>
      </c>
      <c r="C48" s="100">
        <v>250000</v>
      </c>
      <c r="D48" s="518"/>
      <c r="E48" s="833">
        <f>C48+D48</f>
        <v>250000</v>
      </c>
      <c r="F48" s="808">
        <v>200000</v>
      </c>
    </row>
    <row r="49" spans="1:6" ht="15.75">
      <c r="A49" s="140" t="s">
        <v>170</v>
      </c>
      <c r="B49" s="6"/>
      <c r="C49" s="7">
        <f>SUM(C46:C48)</f>
        <v>700000</v>
      </c>
      <c r="D49" s="492">
        <f>SUM(D46:D48)</f>
        <v>0</v>
      </c>
      <c r="E49" s="492">
        <f>SUM(E46:E48)</f>
        <v>700000</v>
      </c>
      <c r="F49" s="479">
        <f>SUM(F46:F48)</f>
        <v>500000</v>
      </c>
    </row>
    <row r="50" spans="1:6" ht="15.75">
      <c r="A50" s="12"/>
      <c r="B50" s="101" t="s">
        <v>84</v>
      </c>
      <c r="C50" s="100"/>
      <c r="D50" s="518"/>
      <c r="E50" s="833"/>
      <c r="F50" s="201"/>
    </row>
    <row r="51" spans="1:6" ht="15.75">
      <c r="A51" s="12" t="s">
        <v>82</v>
      </c>
      <c r="B51" s="99" t="s">
        <v>83</v>
      </c>
      <c r="C51" s="100">
        <v>100000</v>
      </c>
      <c r="D51" s="518"/>
      <c r="E51" s="833">
        <f>C51+D51</f>
        <v>100000</v>
      </c>
      <c r="F51" s="808">
        <v>200000</v>
      </c>
    </row>
    <row r="52" spans="1:6" ht="15.75">
      <c r="A52" s="12" t="s">
        <v>85</v>
      </c>
      <c r="B52" s="99" t="s">
        <v>86</v>
      </c>
      <c r="C52" s="100">
        <v>200000</v>
      </c>
      <c r="D52" s="518"/>
      <c r="E52" s="833">
        <f>C52+D52</f>
        <v>200000</v>
      </c>
      <c r="F52" s="808">
        <v>200000</v>
      </c>
    </row>
    <row r="53" spans="1:6" ht="15.75">
      <c r="A53" s="140" t="s">
        <v>170</v>
      </c>
      <c r="B53" s="6"/>
      <c r="C53" s="7">
        <f>SUM(C51:C52)</f>
        <v>300000</v>
      </c>
      <c r="D53" s="492">
        <f>SUM(D51:D52)</f>
        <v>0</v>
      </c>
      <c r="E53" s="492">
        <f>SUM(E51:E52)</f>
        <v>300000</v>
      </c>
      <c r="F53" s="479">
        <f>SUM(F51:F52)</f>
        <v>400000</v>
      </c>
    </row>
    <row r="54" spans="1:6" ht="15.75">
      <c r="A54" s="12"/>
      <c r="B54" s="101" t="s">
        <v>124</v>
      </c>
      <c r="C54" s="100"/>
      <c r="D54" s="518"/>
      <c r="E54" s="833"/>
      <c r="F54" s="201"/>
    </row>
    <row r="55" spans="1:6" ht="15.75">
      <c r="A55" s="12" t="s">
        <v>122</v>
      </c>
      <c r="B55" s="99" t="s">
        <v>123</v>
      </c>
      <c r="C55" s="100">
        <v>300000</v>
      </c>
      <c r="D55" s="518"/>
      <c r="E55" s="833">
        <f>C55+D55</f>
        <v>300000</v>
      </c>
      <c r="F55" s="808">
        <v>300000</v>
      </c>
    </row>
    <row r="56" spans="1:6" ht="15.75">
      <c r="A56" s="12" t="s">
        <v>125</v>
      </c>
      <c r="B56" s="99" t="s">
        <v>126</v>
      </c>
      <c r="C56" s="100">
        <v>557500</v>
      </c>
      <c r="D56" s="518"/>
      <c r="E56" s="833">
        <f>C56+D56</f>
        <v>557500</v>
      </c>
      <c r="F56" s="808">
        <v>300000</v>
      </c>
    </row>
    <row r="57" spans="1:6" ht="15.75">
      <c r="A57" s="12" t="s">
        <v>127</v>
      </c>
      <c r="B57" s="99" t="s">
        <v>128</v>
      </c>
      <c r="C57" s="100">
        <v>250000</v>
      </c>
      <c r="D57" s="518"/>
      <c r="E57" s="833">
        <f>C57+D57</f>
        <v>250000</v>
      </c>
      <c r="F57" s="808">
        <v>100000</v>
      </c>
    </row>
    <row r="58" spans="1:6" ht="15.75">
      <c r="A58" s="140" t="s">
        <v>170</v>
      </c>
      <c r="B58" s="6"/>
      <c r="C58" s="7">
        <f>SUM(C55:C57)</f>
        <v>1107500</v>
      </c>
      <c r="D58" s="492">
        <f>SUM(D55:D57)</f>
        <v>0</v>
      </c>
      <c r="E58" s="492">
        <f>SUM(E55:E57)</f>
        <v>1107500</v>
      </c>
      <c r="F58" s="479">
        <f>SUM(F55:F57)</f>
        <v>700000</v>
      </c>
    </row>
    <row r="59" spans="1:6" ht="15.75">
      <c r="A59" s="12"/>
      <c r="B59" s="101" t="s">
        <v>131</v>
      </c>
      <c r="C59" s="100"/>
      <c r="D59" s="518"/>
      <c r="E59" s="833"/>
      <c r="F59" s="201"/>
    </row>
    <row r="60" spans="1:6" ht="15.75">
      <c r="A60" s="12" t="s">
        <v>129</v>
      </c>
      <c r="B60" s="99" t="s">
        <v>130</v>
      </c>
      <c r="C60" s="100">
        <v>900000</v>
      </c>
      <c r="D60" s="518"/>
      <c r="E60" s="833">
        <f>C60+D60</f>
        <v>900000</v>
      </c>
      <c r="F60" s="808">
        <v>900000</v>
      </c>
    </row>
    <row r="61" spans="1:6" ht="15.75">
      <c r="A61" s="140" t="s">
        <v>170</v>
      </c>
      <c r="B61" s="6"/>
      <c r="C61" s="7">
        <f>SUM(C60:C60)</f>
        <v>900000</v>
      </c>
      <c r="D61" s="492">
        <f>SUM(D60:D60)</f>
        <v>0</v>
      </c>
      <c r="E61" s="492">
        <f>SUM(E60:E60)</f>
        <v>900000</v>
      </c>
      <c r="F61" s="479">
        <f>SUM(F60:F60)</f>
        <v>900000</v>
      </c>
    </row>
    <row r="62" spans="1:6" s="98" customFormat="1" ht="15.75">
      <c r="A62" s="12"/>
      <c r="B62" s="101" t="s">
        <v>136</v>
      </c>
      <c r="C62" s="100"/>
      <c r="D62" s="518"/>
      <c r="E62" s="833"/>
      <c r="F62" s="201"/>
    </row>
    <row r="63" spans="1:6" s="98" customFormat="1" ht="15.75">
      <c r="A63" s="12">
        <v>3111001</v>
      </c>
      <c r="B63" s="99" t="s">
        <v>401</v>
      </c>
      <c r="C63" s="57">
        <v>1000000</v>
      </c>
      <c r="D63" s="518">
        <v>-1000000</v>
      </c>
      <c r="E63" s="833">
        <f>C63+D63</f>
        <v>0</v>
      </c>
      <c r="F63" s="201"/>
    </row>
    <row r="64" spans="1:6" s="98" customFormat="1" ht="15.75">
      <c r="A64" s="12">
        <v>3111002</v>
      </c>
      <c r="B64" s="99" t="s">
        <v>920</v>
      </c>
      <c r="C64" s="72">
        <v>3000000</v>
      </c>
      <c r="D64" s="518"/>
      <c r="E64" s="833">
        <f>C64+D64</f>
        <v>3000000</v>
      </c>
      <c r="F64" s="808">
        <v>1000000</v>
      </c>
    </row>
    <row r="65" spans="1:6" s="98" customFormat="1" ht="15.75">
      <c r="A65" s="12">
        <v>3110704</v>
      </c>
      <c r="B65" s="99" t="s">
        <v>402</v>
      </c>
      <c r="C65" s="57">
        <v>500000</v>
      </c>
      <c r="D65" s="518"/>
      <c r="E65" s="833">
        <f>C65+D65</f>
        <v>500000</v>
      </c>
      <c r="F65" s="808">
        <v>0</v>
      </c>
    </row>
    <row r="66" spans="1:6" s="98" customFormat="1" ht="15.75">
      <c r="A66" s="12" t="s">
        <v>137</v>
      </c>
      <c r="B66" s="99" t="s">
        <v>138</v>
      </c>
      <c r="C66" s="57">
        <v>30000000</v>
      </c>
      <c r="D66" s="518"/>
      <c r="E66" s="833">
        <f>C66+D66</f>
        <v>30000000</v>
      </c>
      <c r="F66" s="808">
        <v>25000000</v>
      </c>
    </row>
    <row r="67" spans="1:6" s="98" customFormat="1" ht="15.75">
      <c r="A67" s="12" t="s">
        <v>139</v>
      </c>
      <c r="B67" s="99" t="s">
        <v>140</v>
      </c>
      <c r="C67" s="57">
        <v>120000</v>
      </c>
      <c r="D67" s="518"/>
      <c r="E67" s="833">
        <f>C67+D67</f>
        <v>120000</v>
      </c>
      <c r="F67" s="808">
        <v>100000</v>
      </c>
    </row>
    <row r="68" spans="1:6" s="98" customFormat="1" ht="15.75">
      <c r="A68" s="140" t="s">
        <v>170</v>
      </c>
      <c r="B68" s="6"/>
      <c r="C68" s="7">
        <f>SUM(C63:C67)</f>
        <v>34620000</v>
      </c>
      <c r="D68" s="492">
        <f>SUM(D63:D67)</f>
        <v>-1000000</v>
      </c>
      <c r="E68" s="492">
        <f>SUM(E63:E67)</f>
        <v>33620000</v>
      </c>
      <c r="F68" s="479">
        <f>SUM(F63:F67)</f>
        <v>26100000</v>
      </c>
    </row>
    <row r="69" spans="1:6" s="98" customFormat="1" ht="15.75">
      <c r="A69" s="12"/>
      <c r="B69" s="101" t="s">
        <v>151</v>
      </c>
      <c r="C69" s="100"/>
      <c r="D69" s="518"/>
      <c r="E69" s="833"/>
      <c r="F69" s="201"/>
    </row>
    <row r="70" spans="1:6" s="98" customFormat="1" ht="15.75">
      <c r="A70" s="12" t="s">
        <v>149</v>
      </c>
      <c r="B70" s="99" t="s">
        <v>150</v>
      </c>
      <c r="C70" s="100">
        <v>1200000</v>
      </c>
      <c r="D70" s="518"/>
      <c r="E70" s="833">
        <f>C70+D70</f>
        <v>1200000</v>
      </c>
      <c r="F70" s="808">
        <v>750000</v>
      </c>
    </row>
    <row r="71" spans="1:6" s="98" customFormat="1" ht="15.75">
      <c r="A71" s="140" t="s">
        <v>170</v>
      </c>
      <c r="B71" s="6"/>
      <c r="C71" s="7">
        <f>SUM(C70:C70)</f>
        <v>1200000</v>
      </c>
      <c r="D71" s="492">
        <f>SUM(D70:D70)</f>
        <v>0</v>
      </c>
      <c r="E71" s="492">
        <f>SUM(E70:E70)</f>
        <v>1200000</v>
      </c>
      <c r="F71" s="479">
        <f>SUM(F70:F70)</f>
        <v>750000</v>
      </c>
    </row>
    <row r="72" spans="1:6" s="98" customFormat="1" ht="15.75">
      <c r="A72" s="12"/>
      <c r="B72" s="101" t="s">
        <v>154</v>
      </c>
      <c r="C72" s="100"/>
      <c r="D72" s="518"/>
      <c r="E72" s="833"/>
      <c r="F72" s="201"/>
    </row>
    <row r="73" spans="1:6" s="98" customFormat="1" ht="15.75">
      <c r="A73" s="12" t="s">
        <v>152</v>
      </c>
      <c r="B73" s="99" t="s">
        <v>153</v>
      </c>
      <c r="C73" s="100">
        <v>1500000</v>
      </c>
      <c r="D73" s="518"/>
      <c r="E73" s="833">
        <f>C73+D73</f>
        <v>1500000</v>
      </c>
      <c r="F73" s="808">
        <v>1000000</v>
      </c>
    </row>
    <row r="74" spans="1:6" s="98" customFormat="1" ht="15.75">
      <c r="A74" s="12">
        <v>2220209</v>
      </c>
      <c r="B74" s="99" t="s">
        <v>404</v>
      </c>
      <c r="C74" s="100">
        <v>700000</v>
      </c>
      <c r="D74" s="497">
        <v>1000000</v>
      </c>
      <c r="E74" s="833">
        <f>C74+D74</f>
        <v>1700000</v>
      </c>
      <c r="F74" s="808">
        <v>1000000</v>
      </c>
    </row>
    <row r="75" spans="1:6" s="504" customFormat="1" ht="15.75">
      <c r="A75" s="506">
        <v>3110301</v>
      </c>
      <c r="B75" s="505" t="s">
        <v>1018</v>
      </c>
      <c r="C75" s="100"/>
      <c r="D75" s="497">
        <v>500000</v>
      </c>
      <c r="E75" s="833">
        <f>C75+D75</f>
        <v>500000</v>
      </c>
      <c r="F75" s="808">
        <v>500000</v>
      </c>
    </row>
    <row r="76" spans="1:6" s="98" customFormat="1" ht="15.75">
      <c r="A76" s="140" t="s">
        <v>170</v>
      </c>
      <c r="B76" s="6"/>
      <c r="C76" s="7">
        <f>SUM(C73:C75)</f>
        <v>2200000</v>
      </c>
      <c r="D76" s="492">
        <f>SUM(D73:D75)</f>
        <v>1500000</v>
      </c>
      <c r="E76" s="492">
        <f>SUM(E73:E75)</f>
        <v>3700000</v>
      </c>
      <c r="F76" s="7">
        <f>SUM(F73:F75)</f>
        <v>2500000</v>
      </c>
    </row>
    <row r="77" spans="1:6" s="98" customFormat="1" ht="15.75">
      <c r="A77" s="140"/>
      <c r="B77" s="6" t="s">
        <v>768</v>
      </c>
      <c r="C77" s="7">
        <f>SUM(C76,C71,C68,C61,C58,C53,C49,C44,C39,C34,C28,C22,C18)</f>
        <v>46167404</v>
      </c>
      <c r="D77" s="492">
        <f>SUM(D76,D71,D68,D61,D58,D53,D49,D44,D39,D34,D28,D22,D18)</f>
        <v>600000</v>
      </c>
      <c r="E77" s="492">
        <f>SUM(E76,E71,E68,E61,E58,E53,E49,E44,E39,E34,E28,E22,E18)</f>
        <v>46767404</v>
      </c>
      <c r="F77" s="479">
        <f>SUM(F76,F71,F68,F61,F58,F53,F49,F44,F39,F34,F28,F22,F18)</f>
        <v>36750000</v>
      </c>
    </row>
    <row r="78" spans="1:6" s="98" customFormat="1" ht="15.75">
      <c r="A78" s="140"/>
      <c r="B78" s="6" t="s">
        <v>687</v>
      </c>
      <c r="C78" s="7">
        <f>SUM(C77,C13)</f>
        <v>75885904</v>
      </c>
      <c r="D78" s="492">
        <f>SUM(D77,D13)</f>
        <v>600000</v>
      </c>
      <c r="E78" s="492">
        <f>SUM(E77,E13)</f>
        <v>76485904</v>
      </c>
      <c r="F78" s="479">
        <f>SUM(F77,F13)</f>
        <v>67657240</v>
      </c>
    </row>
    <row r="79" spans="1:6" s="2" customFormat="1" ht="15.75">
      <c r="A79" s="179">
        <v>11102</v>
      </c>
      <c r="B79" s="64" t="s">
        <v>728</v>
      </c>
      <c r="C79" s="67"/>
      <c r="D79" s="522"/>
      <c r="E79" s="828"/>
      <c r="F79" s="417"/>
    </row>
    <row r="80" spans="1:6" s="98" customFormat="1" ht="15.75">
      <c r="A80" s="141" t="s">
        <v>159</v>
      </c>
      <c r="B80" s="122" t="s">
        <v>405</v>
      </c>
      <c r="C80" s="87">
        <v>5000000</v>
      </c>
      <c r="D80" s="497">
        <v>2900000</v>
      </c>
      <c r="E80" s="833">
        <f>C80+D80</f>
        <v>7900000</v>
      </c>
      <c r="F80" s="808">
        <v>3000000</v>
      </c>
    </row>
    <row r="81" spans="1:6" s="2" customFormat="1" ht="15.75">
      <c r="A81" s="140"/>
      <c r="B81" s="6" t="s">
        <v>816</v>
      </c>
      <c r="C81" s="7">
        <f>SUM(C80:C80)</f>
        <v>5000000</v>
      </c>
      <c r="D81" s="492">
        <f>SUM(D80:D80)</f>
        <v>2900000</v>
      </c>
      <c r="E81" s="492">
        <f>SUM(E80:E80)</f>
        <v>7900000</v>
      </c>
      <c r="F81" s="492">
        <f>SUM(F80:F80)</f>
        <v>3000000</v>
      </c>
    </row>
    <row r="82" spans="1:6" s="2" customFormat="1" ht="15.75" hidden="1">
      <c r="A82" s="179">
        <v>310000</v>
      </c>
      <c r="B82" s="64" t="s">
        <v>763</v>
      </c>
      <c r="C82" s="67"/>
      <c r="D82" s="576"/>
      <c r="E82" s="828"/>
      <c r="F82" s="417"/>
    </row>
    <row r="83" spans="1:6" s="2" customFormat="1" ht="15.75" hidden="1">
      <c r="A83" s="165">
        <v>3110504</v>
      </c>
      <c r="B83" s="43" t="s">
        <v>929</v>
      </c>
      <c r="C83" s="57" t="e">
        <f>'PROJECTS DETAILS'!#REF!</f>
        <v>#REF!</v>
      </c>
      <c r="D83" s="576" t="e">
        <f>'PROJECTS DETAILS'!#REF!+'PROJECTS DETAILS'!#REF!+'PROJECTS DETAILS'!#REF!+'PROJECTS DETAILS'!#REF!</f>
        <v>#REF!</v>
      </c>
      <c r="E83" s="828" t="e">
        <f>C83+D83</f>
        <v>#REF!</v>
      </c>
      <c r="F83" s="417"/>
    </row>
    <row r="84" spans="1:6" s="2" customFormat="1" ht="15.75" hidden="1">
      <c r="A84" s="165"/>
      <c r="B84" s="43" t="s">
        <v>942</v>
      </c>
      <c r="C84" s="57" t="e">
        <f>'PROJECTS DETAILS'!#REF!</f>
        <v>#REF!</v>
      </c>
      <c r="D84" s="576" t="e">
        <f>'PROJECTS DETAILS'!#REF!</f>
        <v>#REF!</v>
      </c>
      <c r="E84" s="828" t="e">
        <f>C84+D84</f>
        <v>#REF!</v>
      </c>
      <c r="F84" s="417"/>
    </row>
    <row r="85" spans="1:6" s="2" customFormat="1" ht="15.75" hidden="1">
      <c r="A85" s="165">
        <v>3130101</v>
      </c>
      <c r="B85" s="717" t="s">
        <v>651</v>
      </c>
      <c r="C85" s="57" t="e">
        <f>'PROJECTS DETAILS'!#REF!</f>
        <v>#REF!</v>
      </c>
      <c r="D85" s="576" t="e">
        <f>'PROJECTS DETAILS'!#REF!</f>
        <v>#REF!</v>
      </c>
      <c r="E85" s="828" t="e">
        <f>C85+D85</f>
        <v>#REF!</v>
      </c>
      <c r="F85" s="417"/>
    </row>
    <row r="86" spans="1:6" s="308" customFormat="1" ht="15.75" hidden="1">
      <c r="A86" s="794">
        <v>3110402</v>
      </c>
      <c r="B86" s="56" t="s">
        <v>822</v>
      </c>
      <c r="C86" s="57" t="e">
        <f>'PROJECTS DETAILS'!#REF!</f>
        <v>#REF!</v>
      </c>
      <c r="D86" s="576" t="e">
        <f>'PROJECTS DETAILS'!#REF!</f>
        <v>#REF!</v>
      </c>
      <c r="E86" s="828" t="e">
        <f>C86+D86</f>
        <v>#REF!</v>
      </c>
      <c r="F86" s="772"/>
    </row>
    <row r="87" spans="1:6" s="2" customFormat="1" ht="15.75" hidden="1">
      <c r="A87" s="291"/>
      <c r="B87" s="292" t="s">
        <v>825</v>
      </c>
      <c r="C87" s="293" t="e">
        <f>SUM(C83:C86)</f>
        <v>#REF!</v>
      </c>
      <c r="D87" s="494" t="e">
        <f>SUM(D83:D86)</f>
        <v>#REF!</v>
      </c>
      <c r="E87" s="494" t="e">
        <f>SUM(E83:E86)</f>
        <v>#REF!</v>
      </c>
      <c r="F87" s="480">
        <f>SUM(F83:F86)</f>
        <v>0</v>
      </c>
    </row>
    <row r="88" spans="1:6" s="2" customFormat="1" ht="15.75">
      <c r="A88" s="291"/>
      <c r="B88" s="292" t="s">
        <v>826</v>
      </c>
      <c r="C88" s="293" t="e">
        <f>SUM(C87,C81)</f>
        <v>#REF!</v>
      </c>
      <c r="D88" s="494" t="e">
        <f>SUM(D87,D81)</f>
        <v>#REF!</v>
      </c>
      <c r="E88" s="494" t="e">
        <f>SUM(E87,E81)</f>
        <v>#REF!</v>
      </c>
      <c r="F88" s="480">
        <f>SUM(F87,F81)</f>
        <v>3000000</v>
      </c>
    </row>
    <row r="89" spans="1:6" s="2" customFormat="1" ht="15.75">
      <c r="A89" s="179">
        <v>11103</v>
      </c>
      <c r="B89" s="64" t="s">
        <v>727</v>
      </c>
      <c r="C89" s="67"/>
      <c r="D89" s="522"/>
      <c r="E89" s="828"/>
      <c r="F89" s="417"/>
    </row>
    <row r="90" spans="1:6" s="98" customFormat="1" ht="15.75">
      <c r="A90" s="12" t="s">
        <v>137</v>
      </c>
      <c r="B90" s="99" t="s">
        <v>400</v>
      </c>
      <c r="C90" s="57">
        <v>3000000</v>
      </c>
      <c r="D90" s="518">
        <v>500000</v>
      </c>
      <c r="E90" s="833">
        <f>C90+D90</f>
        <v>3500000</v>
      </c>
      <c r="F90" s="808">
        <v>3000000</v>
      </c>
    </row>
    <row r="91" spans="1:6" s="98" customFormat="1" ht="15.75">
      <c r="A91" s="12"/>
      <c r="B91" s="99" t="s">
        <v>918</v>
      </c>
      <c r="C91" s="57">
        <v>2000000</v>
      </c>
      <c r="D91" s="518">
        <v>-500000</v>
      </c>
      <c r="E91" s="833">
        <f>C91+D91</f>
        <v>1500000</v>
      </c>
      <c r="F91" s="808">
        <v>1500000</v>
      </c>
    </row>
    <row r="92" spans="1:6" s="146" customFormat="1" ht="15.75">
      <c r="A92" s="85" t="s">
        <v>141</v>
      </c>
      <c r="B92" s="498" t="s">
        <v>928</v>
      </c>
      <c r="C92" s="791">
        <v>11000000</v>
      </c>
      <c r="D92" s="792">
        <f>-1000000+1000000</f>
        <v>0</v>
      </c>
      <c r="E92" s="828">
        <f>C92+D92</f>
        <v>11000000</v>
      </c>
      <c r="F92" s="808">
        <v>7000000</v>
      </c>
    </row>
    <row r="93" spans="1:6" s="98" customFormat="1" ht="15.75">
      <c r="A93" s="85" t="s">
        <v>143</v>
      </c>
      <c r="B93" s="56" t="s">
        <v>403</v>
      </c>
      <c r="C93" s="793">
        <v>3000000</v>
      </c>
      <c r="D93" s="576">
        <f>-1000000+1000000</f>
        <v>0</v>
      </c>
      <c r="E93" s="828">
        <f>C93+D93</f>
        <v>3000000</v>
      </c>
      <c r="F93" s="808">
        <v>2000000</v>
      </c>
    </row>
    <row r="94" spans="1:6" s="11" customFormat="1" ht="15.75">
      <c r="A94" s="140"/>
      <c r="B94" s="6" t="s">
        <v>815</v>
      </c>
      <c r="C94" s="207">
        <f>SUM(C90:C93)</f>
        <v>19000000</v>
      </c>
      <c r="D94" s="530">
        <f>SUM(D90:D93)</f>
        <v>0</v>
      </c>
      <c r="E94" s="530">
        <f>SUM(E90:E93)</f>
        <v>19000000</v>
      </c>
      <c r="F94" s="482">
        <f>SUM(F90:F93)</f>
        <v>13500000</v>
      </c>
    </row>
    <row r="95" spans="1:6" s="289" customFormat="1" ht="15.75" hidden="1">
      <c r="A95" s="179">
        <v>310000</v>
      </c>
      <c r="B95" s="64" t="s">
        <v>763</v>
      </c>
      <c r="C95" s="290"/>
      <c r="D95" s="531"/>
      <c r="E95" s="531"/>
      <c r="F95" s="781"/>
    </row>
    <row r="96" spans="1:6" s="289" customFormat="1" ht="15.75" hidden="1">
      <c r="A96" s="151">
        <v>3111402</v>
      </c>
      <c r="B96" s="159" t="s">
        <v>817</v>
      </c>
      <c r="C96" s="162" t="e">
        <f>'PROJECTS DETAILS'!#REF!</f>
        <v>#REF!</v>
      </c>
      <c r="D96" s="531" t="e">
        <f>'PROJECTS DETAILS'!#REF!</f>
        <v>#REF!</v>
      </c>
      <c r="E96" s="828" t="e">
        <f aca="true" t="shared" si="0" ref="E96:E104">C96+D96</f>
        <v>#REF!</v>
      </c>
      <c r="F96" s="781"/>
    </row>
    <row r="97" spans="1:6" s="289" customFormat="1" ht="15.75" hidden="1">
      <c r="A97" s="151">
        <v>3111011</v>
      </c>
      <c r="B97" s="159" t="s">
        <v>863</v>
      </c>
      <c r="C97" s="162" t="e">
        <f>'PROJECTS DETAILS'!#REF!</f>
        <v>#REF!</v>
      </c>
      <c r="D97" s="531" t="e">
        <f>'PROJECTS DETAILS'!#REF!</f>
        <v>#REF!</v>
      </c>
      <c r="E97" s="828" t="e">
        <f t="shared" si="0"/>
        <v>#REF!</v>
      </c>
      <c r="F97" s="781"/>
    </row>
    <row r="98" spans="1:6" s="289" customFormat="1" ht="15.75" hidden="1">
      <c r="A98" s="151"/>
      <c r="B98" s="790" t="s">
        <v>967</v>
      </c>
      <c r="C98" s="162" t="e">
        <f>'PROJECTS DETAILS'!#REF!</f>
        <v>#REF!</v>
      </c>
      <c r="D98" s="531" t="e">
        <f>'PROJECTS DETAILS'!#REF!</f>
        <v>#REF!</v>
      </c>
      <c r="E98" s="828" t="e">
        <f t="shared" si="0"/>
        <v>#REF!</v>
      </c>
      <c r="F98" s="781"/>
    </row>
    <row r="99" spans="1:6" s="289" customFormat="1" ht="15.75" hidden="1">
      <c r="A99" s="151"/>
      <c r="B99" s="790" t="s">
        <v>968</v>
      </c>
      <c r="C99" s="162" t="e">
        <f>'PROJECTS DETAILS'!#REF!</f>
        <v>#REF!</v>
      </c>
      <c r="D99" s="531" t="e">
        <f>'PROJECTS DETAILS'!#REF!</f>
        <v>#REF!</v>
      </c>
      <c r="E99" s="828" t="e">
        <f t="shared" si="0"/>
        <v>#REF!</v>
      </c>
      <c r="F99" s="781"/>
    </row>
    <row r="100" spans="1:6" s="289" customFormat="1" ht="15.75" hidden="1">
      <c r="A100" s="151"/>
      <c r="B100" s="790" t="s">
        <v>970</v>
      </c>
      <c r="C100" s="162" t="e">
        <f>'PROJECTS DETAILS'!#REF!</f>
        <v>#REF!</v>
      </c>
      <c r="D100" s="531" t="e">
        <f>'PROJECTS DETAILS'!#REF!</f>
        <v>#REF!</v>
      </c>
      <c r="E100" s="828" t="e">
        <f t="shared" si="0"/>
        <v>#REF!</v>
      </c>
      <c r="F100" s="781"/>
    </row>
    <row r="101" spans="1:6" s="289" customFormat="1" ht="15.75" hidden="1">
      <c r="A101" s="151">
        <v>3111402</v>
      </c>
      <c r="B101" s="717" t="s">
        <v>818</v>
      </c>
      <c r="C101" s="162" t="e">
        <f>'PROJECTS DETAILS'!#REF!</f>
        <v>#REF!</v>
      </c>
      <c r="D101" s="531" t="e">
        <f>'PROJECTS DETAILS'!#REF!</f>
        <v>#REF!</v>
      </c>
      <c r="E101" s="828" t="e">
        <f t="shared" si="0"/>
        <v>#REF!</v>
      </c>
      <c r="F101" s="781"/>
    </row>
    <row r="102" spans="1:6" s="289" customFormat="1" ht="15.75" hidden="1">
      <c r="A102" s="151">
        <v>3111402</v>
      </c>
      <c r="B102" s="717" t="s">
        <v>819</v>
      </c>
      <c r="C102" s="162" t="e">
        <f>'PROJECTS DETAILS'!#REF!</f>
        <v>#REF!</v>
      </c>
      <c r="D102" s="531" t="e">
        <f>'PROJECTS DETAILS'!#REF!</f>
        <v>#REF!</v>
      </c>
      <c r="E102" s="828" t="e">
        <f t="shared" si="0"/>
        <v>#REF!</v>
      </c>
      <c r="F102" s="781"/>
    </row>
    <row r="103" spans="1:6" s="289" customFormat="1" ht="15.75" hidden="1">
      <c r="A103" s="151">
        <v>3111402</v>
      </c>
      <c r="B103" s="717" t="s">
        <v>820</v>
      </c>
      <c r="C103" s="162" t="e">
        <f>'PROJECTS DETAILS'!#REF!</f>
        <v>#REF!</v>
      </c>
      <c r="D103" s="531" t="e">
        <f>'PROJECTS DETAILS'!#REF!</f>
        <v>#REF!</v>
      </c>
      <c r="E103" s="828" t="e">
        <f t="shared" si="0"/>
        <v>#REF!</v>
      </c>
      <c r="F103" s="781"/>
    </row>
    <row r="104" spans="1:6" s="289" customFormat="1" ht="15.75" hidden="1">
      <c r="A104" s="151">
        <v>3111402</v>
      </c>
      <c r="B104" s="717" t="s">
        <v>821</v>
      </c>
      <c r="C104" s="162" t="e">
        <f>'PROJECTS DETAILS'!#REF!</f>
        <v>#REF!</v>
      </c>
      <c r="D104" s="531" t="e">
        <f>'PROJECTS DETAILS'!#REF!</f>
        <v>#REF!</v>
      </c>
      <c r="E104" s="828" t="e">
        <f t="shared" si="0"/>
        <v>#REF!</v>
      </c>
      <c r="F104" s="781"/>
    </row>
    <row r="105" spans="1:6" s="289" customFormat="1" ht="15.75" hidden="1">
      <c r="A105" s="140"/>
      <c r="B105" s="292" t="s">
        <v>823</v>
      </c>
      <c r="C105" s="294" t="e">
        <f>SUM(C96:C104)</f>
        <v>#REF!</v>
      </c>
      <c r="D105" s="532" t="e">
        <f>SUM(D96:D104)</f>
        <v>#REF!</v>
      </c>
      <c r="E105" s="532" t="e">
        <f>SUM(E96:E104)</f>
        <v>#REF!</v>
      </c>
      <c r="F105" s="483">
        <f>SUM(F96:F104)</f>
        <v>0</v>
      </c>
    </row>
    <row r="106" spans="1:6" s="289" customFormat="1" ht="15.75">
      <c r="A106" s="140"/>
      <c r="B106" s="292" t="s">
        <v>824</v>
      </c>
      <c r="C106" s="294" t="e">
        <f>SUM(C105,C94)</f>
        <v>#REF!</v>
      </c>
      <c r="D106" s="532" t="e">
        <f>SUM(D105,D94)</f>
        <v>#REF!</v>
      </c>
      <c r="E106" s="532" t="e">
        <f>SUM(E105,E94)</f>
        <v>#REF!</v>
      </c>
      <c r="F106" s="483">
        <f>SUM(F105,F94)</f>
        <v>13500000</v>
      </c>
    </row>
    <row r="107" spans="1:6" ht="15.75">
      <c r="A107" s="140"/>
      <c r="B107" s="140" t="s">
        <v>171</v>
      </c>
      <c r="C107" s="7">
        <f>SUM(C94,C81,C77)</f>
        <v>70167404</v>
      </c>
      <c r="D107" s="492">
        <f>SUM(D94,D81,D77)</f>
        <v>3500000</v>
      </c>
      <c r="E107" s="492">
        <f>SUM(E94,E81,E77)</f>
        <v>73667404</v>
      </c>
      <c r="F107" s="479">
        <f>SUM(F94,F81,F77)</f>
        <v>53250000</v>
      </c>
    </row>
    <row r="108" spans="1:6" ht="15.75">
      <c r="A108" s="140"/>
      <c r="B108" s="140" t="s">
        <v>784</v>
      </c>
      <c r="C108" s="7">
        <f>SUM(C107,C13)</f>
        <v>99885904</v>
      </c>
      <c r="D108" s="492">
        <f>SUM(D107,D13)</f>
        <v>3500000</v>
      </c>
      <c r="E108" s="492">
        <f>SUM(E107,E13)</f>
        <v>103385904</v>
      </c>
      <c r="F108" s="479">
        <f>SUM(F107,F13)</f>
        <v>84157240</v>
      </c>
    </row>
    <row r="109" spans="1:6" ht="15.75">
      <c r="A109" s="296"/>
      <c r="B109" s="6" t="s">
        <v>787</v>
      </c>
      <c r="C109" s="138" t="e">
        <f>SUM(C105,C87)</f>
        <v>#REF!</v>
      </c>
      <c r="D109" s="495" t="e">
        <f>SUM(D105,D87)</f>
        <v>#REF!</v>
      </c>
      <c r="E109" s="495"/>
      <c r="F109" s="481"/>
    </row>
    <row r="110" spans="1:6" ht="15.75">
      <c r="A110" s="296"/>
      <c r="B110" s="6" t="s">
        <v>790</v>
      </c>
      <c r="C110" s="138" t="e">
        <f>SUM(C108:C109)</f>
        <v>#REF!</v>
      </c>
      <c r="D110" s="495" t="e">
        <f>SUM(D108:D109)</f>
        <v>#REF!</v>
      </c>
      <c r="E110" s="495">
        <f>SUM(E108:E109)</f>
        <v>103385904</v>
      </c>
      <c r="F110" s="481">
        <f>SUM(F108:F109)</f>
        <v>84157240</v>
      </c>
    </row>
  </sheetData>
  <sheetProtection/>
  <mergeCells count="2">
    <mergeCell ref="A1:C1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3" r:id="rId1"/>
  <rowBreaks count="1" manualBreakCount="1">
    <brk id="58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96"/>
  <sheetViews>
    <sheetView view="pageBreakPreview" zoomScale="130" zoomScaleSheetLayoutView="130" zoomScalePageLayoutView="0" workbookViewId="0" topLeftCell="B1">
      <pane ySplit="2" topLeftCell="A77" activePane="bottomLeft" state="frozen"/>
      <selection pane="topLeft" activeCell="A1" sqref="A1"/>
      <selection pane="bottomLeft" activeCell="B81" sqref="A81:IV87"/>
    </sheetView>
  </sheetViews>
  <sheetFormatPr defaultColWidth="9.140625" defaultRowHeight="15"/>
  <cols>
    <col min="1" max="1" width="10.8515625" style="209" customWidth="1"/>
    <col min="2" max="2" width="82.28125" style="1" customWidth="1"/>
    <col min="3" max="3" width="16.7109375" style="371" hidden="1" customWidth="1"/>
    <col min="4" max="4" width="15.7109375" style="0" hidden="1" customWidth="1"/>
    <col min="5" max="5" width="19.140625" style="851" customWidth="1"/>
    <col min="6" max="6" width="19.8515625" style="851" customWidth="1"/>
  </cols>
  <sheetData>
    <row r="1" spans="1:3" ht="15.75">
      <c r="A1" s="921" t="s">
        <v>215</v>
      </c>
      <c r="B1" s="922"/>
      <c r="C1" s="929"/>
    </row>
    <row r="2" spans="1:6" s="21" customFormat="1" ht="63">
      <c r="A2" s="904" t="s">
        <v>168</v>
      </c>
      <c r="B2" s="923"/>
      <c r="C2" s="192" t="s">
        <v>996</v>
      </c>
      <c r="D2" s="439" t="s">
        <v>995</v>
      </c>
      <c r="E2" s="561" t="s">
        <v>997</v>
      </c>
      <c r="F2" s="812" t="s">
        <v>1068</v>
      </c>
    </row>
    <row r="3" spans="1:6" s="21" customFormat="1" ht="15.75">
      <c r="A3" s="200">
        <v>11001</v>
      </c>
      <c r="B3" s="200" t="s">
        <v>680</v>
      </c>
      <c r="C3" s="454"/>
      <c r="D3" s="416"/>
      <c r="E3" s="853"/>
      <c r="F3" s="853"/>
    </row>
    <row r="4" spans="1:6" s="21" customFormat="1" ht="15.75">
      <c r="A4" s="200">
        <v>2100000</v>
      </c>
      <c r="B4" s="200" t="s">
        <v>678</v>
      </c>
      <c r="C4" s="454"/>
      <c r="D4" s="416"/>
      <c r="E4" s="853"/>
      <c r="F4" s="853"/>
    </row>
    <row r="5" spans="1:6" ht="15.75">
      <c r="A5" s="135"/>
      <c r="B5" s="101" t="s">
        <v>2</v>
      </c>
      <c r="C5" s="455"/>
      <c r="D5" s="201"/>
      <c r="E5" s="854"/>
      <c r="F5" s="854"/>
    </row>
    <row r="6" spans="1:6" ht="15.75">
      <c r="A6" s="12" t="s">
        <v>0</v>
      </c>
      <c r="B6" s="5" t="s">
        <v>1</v>
      </c>
      <c r="C6" s="128">
        <v>68670000</v>
      </c>
      <c r="D6" s="201"/>
      <c r="E6" s="854">
        <f>C6+D6</f>
        <v>68670000</v>
      </c>
      <c r="F6" s="854">
        <v>71416800</v>
      </c>
    </row>
    <row r="7" spans="1:6" ht="15.75">
      <c r="A7" s="140" t="s">
        <v>170</v>
      </c>
      <c r="B7" s="6"/>
      <c r="C7" s="456">
        <f>SUM(C6)</f>
        <v>68670000</v>
      </c>
      <c r="D7" s="456">
        <f>SUM(D6)</f>
        <v>0</v>
      </c>
      <c r="E7" s="486">
        <f>SUM(E6)</f>
        <v>68670000</v>
      </c>
      <c r="F7" s="486">
        <f>SUM(F6)</f>
        <v>71416800</v>
      </c>
    </row>
    <row r="8" spans="1:6" ht="15.75">
      <c r="A8" s="12"/>
      <c r="B8" s="101" t="s">
        <v>5</v>
      </c>
      <c r="C8" s="128"/>
      <c r="D8" s="201"/>
      <c r="E8" s="854"/>
      <c r="F8" s="854"/>
    </row>
    <row r="9" spans="1:6" ht="15.75">
      <c r="A9" s="12" t="s">
        <v>3</v>
      </c>
      <c r="B9" s="99" t="s">
        <v>4</v>
      </c>
      <c r="C9" s="128">
        <v>12600000</v>
      </c>
      <c r="D9" s="201"/>
      <c r="E9" s="854">
        <f>C9+D9</f>
        <v>12600000</v>
      </c>
      <c r="F9" s="833">
        <v>13104000</v>
      </c>
    </row>
    <row r="10" spans="1:6" ht="15.75">
      <c r="A10" s="12" t="s">
        <v>10</v>
      </c>
      <c r="B10" s="99" t="s">
        <v>11</v>
      </c>
      <c r="C10" s="128">
        <v>7350000</v>
      </c>
      <c r="D10" s="201"/>
      <c r="E10" s="854">
        <f>C10+D10</f>
        <v>7350000</v>
      </c>
      <c r="F10" s="833">
        <v>7644000</v>
      </c>
    </row>
    <row r="11" spans="1:6" ht="15.75">
      <c r="A11" s="12" t="s">
        <v>12</v>
      </c>
      <c r="B11" s="99" t="s">
        <v>13</v>
      </c>
      <c r="C11" s="128">
        <v>630000</v>
      </c>
      <c r="D11" s="201"/>
      <c r="E11" s="854">
        <f>C11+D11</f>
        <v>630000</v>
      </c>
      <c r="F11" s="833">
        <v>655200</v>
      </c>
    </row>
    <row r="12" spans="1:6" ht="15.75">
      <c r="A12" s="140" t="s">
        <v>170</v>
      </c>
      <c r="B12" s="6"/>
      <c r="C12" s="456">
        <f>SUM(C9:C11)</f>
        <v>20580000</v>
      </c>
      <c r="D12" s="456">
        <f>SUM(D9:D11)</f>
        <v>0</v>
      </c>
      <c r="E12" s="486">
        <f>SUM(E9:E11)</f>
        <v>20580000</v>
      </c>
      <c r="F12" s="486">
        <f>SUM(F9:F11)</f>
        <v>21403200</v>
      </c>
    </row>
    <row r="13" spans="1:6" ht="15.75">
      <c r="A13" s="140" t="s">
        <v>173</v>
      </c>
      <c r="B13" s="6"/>
      <c r="C13" s="456">
        <f>SUM(C12,C7)</f>
        <v>89250000</v>
      </c>
      <c r="D13" s="456">
        <f>SUM(D12,D7)</f>
        <v>0</v>
      </c>
      <c r="E13" s="486">
        <f>SUM(E12,E7)</f>
        <v>89250000</v>
      </c>
      <c r="F13" s="486">
        <f>SUM(F12,F7)</f>
        <v>92820000</v>
      </c>
    </row>
    <row r="14" spans="1:6" s="2" customFormat="1" ht="15.75">
      <c r="A14" s="202">
        <v>2200000</v>
      </c>
      <c r="B14" s="64" t="s">
        <v>679</v>
      </c>
      <c r="C14" s="457"/>
      <c r="D14" s="417"/>
      <c r="E14" s="845"/>
      <c r="F14" s="845"/>
    </row>
    <row r="15" spans="1:6" ht="15.75">
      <c r="A15" s="12"/>
      <c r="B15" s="101" t="s">
        <v>21</v>
      </c>
      <c r="C15" s="128"/>
      <c r="D15" s="201"/>
      <c r="E15" s="854"/>
      <c r="F15" s="854"/>
    </row>
    <row r="16" spans="1:6" ht="15.75">
      <c r="A16" s="12" t="s">
        <v>19</v>
      </c>
      <c r="B16" s="99" t="s">
        <v>20</v>
      </c>
      <c r="C16" s="128">
        <v>150000</v>
      </c>
      <c r="D16" s="201"/>
      <c r="E16" s="854">
        <f>C16+D16</f>
        <v>150000</v>
      </c>
      <c r="F16" s="854">
        <v>200000</v>
      </c>
    </row>
    <row r="17" spans="1:6" ht="15.75">
      <c r="A17" s="12" t="s">
        <v>22</v>
      </c>
      <c r="B17" s="99" t="s">
        <v>23</v>
      </c>
      <c r="C17" s="128">
        <v>25000</v>
      </c>
      <c r="D17" s="201"/>
      <c r="E17" s="854">
        <f>C17+D17</f>
        <v>25000</v>
      </c>
      <c r="F17" s="854">
        <v>50000</v>
      </c>
    </row>
    <row r="18" spans="1:6" ht="15.75">
      <c r="A18" s="140" t="s">
        <v>170</v>
      </c>
      <c r="B18" s="6"/>
      <c r="C18" s="456">
        <f>SUM(C16:C17)</f>
        <v>175000</v>
      </c>
      <c r="D18" s="456">
        <f>SUM(D16:D17)</f>
        <v>0</v>
      </c>
      <c r="E18" s="486">
        <f>SUM(E16:E17)</f>
        <v>175000</v>
      </c>
      <c r="F18" s="486">
        <f>SUM(F16:F17)</f>
        <v>250000</v>
      </c>
    </row>
    <row r="19" spans="1:6" ht="15.75">
      <c r="A19" s="12"/>
      <c r="B19" s="101" t="s">
        <v>28</v>
      </c>
      <c r="C19" s="128"/>
      <c r="D19" s="201"/>
      <c r="E19" s="854"/>
      <c r="F19" s="854"/>
    </row>
    <row r="20" spans="1:6" ht="15.75">
      <c r="A20" s="12" t="s">
        <v>26</v>
      </c>
      <c r="B20" s="99" t="s">
        <v>27</v>
      </c>
      <c r="C20" s="128">
        <v>80000</v>
      </c>
      <c r="D20" s="201"/>
      <c r="E20" s="854">
        <f>C20+D20</f>
        <v>80000</v>
      </c>
      <c r="F20" s="854">
        <v>150000</v>
      </c>
    </row>
    <row r="21" spans="1:6" ht="15.75">
      <c r="A21" s="12" t="s">
        <v>29</v>
      </c>
      <c r="B21" s="99" t="s">
        <v>30</v>
      </c>
      <c r="C21" s="128">
        <v>20000</v>
      </c>
      <c r="D21" s="201"/>
      <c r="E21" s="854">
        <f>C21+D21</f>
        <v>20000</v>
      </c>
      <c r="F21" s="854">
        <v>50000</v>
      </c>
    </row>
    <row r="22" spans="1:6" ht="15.75">
      <c r="A22" s="12" t="s">
        <v>31</v>
      </c>
      <c r="B22" s="99" t="s">
        <v>32</v>
      </c>
      <c r="C22" s="128">
        <v>5000</v>
      </c>
      <c r="D22" s="201"/>
      <c r="E22" s="854">
        <f>C22+D22</f>
        <v>5000</v>
      </c>
      <c r="F22" s="854">
        <v>20000</v>
      </c>
    </row>
    <row r="23" spans="1:6" ht="15.75">
      <c r="A23" s="140" t="s">
        <v>170</v>
      </c>
      <c r="B23" s="6"/>
      <c r="C23" s="456">
        <f>SUM(C20:C22)</f>
        <v>105000</v>
      </c>
      <c r="D23" s="456">
        <f>SUM(D20:D22)</f>
        <v>0</v>
      </c>
      <c r="E23" s="486">
        <f>SUM(E20:E22)</f>
        <v>105000</v>
      </c>
      <c r="F23" s="486">
        <f>SUM(F20:F22)</f>
        <v>220000</v>
      </c>
    </row>
    <row r="24" spans="1:6" ht="15.75">
      <c r="A24" s="12"/>
      <c r="B24" s="101" t="s">
        <v>35</v>
      </c>
      <c r="C24" s="128"/>
      <c r="D24" s="201"/>
      <c r="E24" s="854"/>
      <c r="F24" s="854"/>
    </row>
    <row r="25" spans="1:6" ht="15.75">
      <c r="A25" s="12" t="s">
        <v>33</v>
      </c>
      <c r="B25" s="99" t="s">
        <v>34</v>
      </c>
      <c r="C25" s="128">
        <v>800000</v>
      </c>
      <c r="D25" s="201"/>
      <c r="E25" s="854">
        <f>C25+D25</f>
        <v>800000</v>
      </c>
      <c r="F25" s="856" t="s">
        <v>1101</v>
      </c>
    </row>
    <row r="26" spans="1:6" ht="15.75">
      <c r="A26" s="12" t="s">
        <v>36</v>
      </c>
      <c r="B26" s="99" t="s">
        <v>37</v>
      </c>
      <c r="C26" s="128">
        <v>1800000</v>
      </c>
      <c r="D26" s="201"/>
      <c r="E26" s="854">
        <f>C26+D26</f>
        <v>1800000</v>
      </c>
      <c r="F26" s="833">
        <v>3000000</v>
      </c>
    </row>
    <row r="27" spans="1:6" ht="15.75">
      <c r="A27" s="12" t="s">
        <v>38</v>
      </c>
      <c r="B27" s="99" t="s">
        <v>39</v>
      </c>
      <c r="C27" s="128">
        <v>1500000</v>
      </c>
      <c r="D27" s="201"/>
      <c r="E27" s="854">
        <f>C27+D27</f>
        <v>1500000</v>
      </c>
      <c r="F27" s="833">
        <v>2000000</v>
      </c>
    </row>
    <row r="28" spans="1:6" ht="15.75">
      <c r="A28" s="140" t="s">
        <v>170</v>
      </c>
      <c r="B28" s="6"/>
      <c r="C28" s="456">
        <f>SUM(C25:C27)</f>
        <v>4100000</v>
      </c>
      <c r="D28" s="456">
        <f>SUM(D25:D27)</f>
        <v>0</v>
      </c>
      <c r="E28" s="486">
        <f>SUM(E25:E27)</f>
        <v>4100000</v>
      </c>
      <c r="F28" s="486">
        <f>SUM(F25:F27)</f>
        <v>5000000</v>
      </c>
    </row>
    <row r="29" spans="1:6" ht="15.75">
      <c r="A29" s="12"/>
      <c r="B29" s="101" t="s">
        <v>44</v>
      </c>
      <c r="C29" s="128"/>
      <c r="D29" s="201"/>
      <c r="E29" s="854"/>
      <c r="F29" s="854"/>
    </row>
    <row r="30" spans="1:6" ht="15.75">
      <c r="A30" s="12" t="s">
        <v>42</v>
      </c>
      <c r="B30" s="99" t="s">
        <v>43</v>
      </c>
      <c r="C30" s="128">
        <v>500000</v>
      </c>
      <c r="D30" s="201"/>
      <c r="E30" s="854">
        <f>C30+D30</f>
        <v>500000</v>
      </c>
      <c r="F30" s="854">
        <v>400000</v>
      </c>
    </row>
    <row r="31" spans="1:6" ht="15.75">
      <c r="A31" s="12" t="s">
        <v>45</v>
      </c>
      <c r="B31" s="99" t="s">
        <v>46</v>
      </c>
      <c r="C31" s="128">
        <v>1000000</v>
      </c>
      <c r="D31" s="201"/>
      <c r="E31" s="854">
        <f>C31+D31</f>
        <v>1000000</v>
      </c>
      <c r="F31" s="854">
        <v>200000</v>
      </c>
    </row>
    <row r="32" spans="1:6" ht="15.75">
      <c r="A32" s="12" t="s">
        <v>47</v>
      </c>
      <c r="B32" s="99" t="s">
        <v>39</v>
      </c>
      <c r="C32" s="128">
        <v>500000</v>
      </c>
      <c r="D32" s="201"/>
      <c r="E32" s="854">
        <f>C32+D32</f>
        <v>500000</v>
      </c>
      <c r="F32" s="854">
        <v>1000000</v>
      </c>
    </row>
    <row r="33" spans="1:6" ht="15.75">
      <c r="A33" s="12" t="s">
        <v>48</v>
      </c>
      <c r="B33" s="99" t="s">
        <v>49</v>
      </c>
      <c r="C33" s="128">
        <v>75000</v>
      </c>
      <c r="D33" s="201"/>
      <c r="E33" s="854">
        <f>C33+D33</f>
        <v>75000</v>
      </c>
      <c r="F33" s="854"/>
    </row>
    <row r="34" spans="1:6" ht="15.75">
      <c r="A34" s="140" t="s">
        <v>170</v>
      </c>
      <c r="B34" s="6"/>
      <c r="C34" s="456">
        <f>SUM(C30:C33)</f>
        <v>2075000</v>
      </c>
      <c r="D34" s="456">
        <f>SUM(D30:D33)</f>
        <v>0</v>
      </c>
      <c r="E34" s="486">
        <f>SUM(E30:E33)</f>
        <v>2075000</v>
      </c>
      <c r="F34" s="486">
        <f>SUM(F30:F33)</f>
        <v>1600000</v>
      </c>
    </row>
    <row r="35" spans="1:6" ht="15.75">
      <c r="A35" s="12"/>
      <c r="B35" s="101" t="s">
        <v>50</v>
      </c>
      <c r="C35" s="128"/>
      <c r="D35" s="201"/>
      <c r="E35" s="854"/>
      <c r="F35" s="854"/>
    </row>
    <row r="36" spans="1:6" ht="15.75">
      <c r="A36" s="12" t="s">
        <v>51</v>
      </c>
      <c r="B36" s="99" t="s">
        <v>52</v>
      </c>
      <c r="C36" s="128">
        <v>200000</v>
      </c>
      <c r="D36" s="201"/>
      <c r="E36" s="854">
        <f>C36+D36</f>
        <v>200000</v>
      </c>
      <c r="F36" s="854">
        <v>350000</v>
      </c>
    </row>
    <row r="37" spans="1:6" ht="15.75">
      <c r="A37" s="12" t="s">
        <v>53</v>
      </c>
      <c r="B37" s="99" t="s">
        <v>54</v>
      </c>
      <c r="C37" s="128">
        <v>15000</v>
      </c>
      <c r="D37" s="201"/>
      <c r="E37" s="854">
        <f>C37+D37</f>
        <v>15000</v>
      </c>
      <c r="F37" s="854">
        <v>50000</v>
      </c>
    </row>
    <row r="38" spans="1:6" ht="15.75">
      <c r="A38" s="12" t="s">
        <v>55</v>
      </c>
      <c r="B38" s="99" t="s">
        <v>56</v>
      </c>
      <c r="C38" s="128">
        <v>500000</v>
      </c>
      <c r="D38" s="201"/>
      <c r="E38" s="854">
        <f>C38+D38</f>
        <v>500000</v>
      </c>
      <c r="F38" s="854">
        <v>500000</v>
      </c>
    </row>
    <row r="39" spans="1:6" ht="15.75">
      <c r="A39" s="12" t="s">
        <v>57</v>
      </c>
      <c r="B39" s="99" t="s">
        <v>58</v>
      </c>
      <c r="C39" s="128">
        <v>150000</v>
      </c>
      <c r="D39" s="201"/>
      <c r="E39" s="854">
        <f>C39+D39</f>
        <v>150000</v>
      </c>
      <c r="F39" s="854">
        <v>350000</v>
      </c>
    </row>
    <row r="40" spans="1:6" ht="15.75">
      <c r="A40" s="140" t="s">
        <v>170</v>
      </c>
      <c r="B40" s="6"/>
      <c r="C40" s="456">
        <f>SUM(C36:C39)</f>
        <v>865000</v>
      </c>
      <c r="D40" s="456">
        <f>SUM(D36:D39)</f>
        <v>0</v>
      </c>
      <c r="E40" s="486">
        <f>SUM(E36:E39)</f>
        <v>865000</v>
      </c>
      <c r="F40" s="486">
        <f>SUM(F36:F39)</f>
        <v>1250000</v>
      </c>
    </row>
    <row r="41" spans="1:6" ht="15.75">
      <c r="A41" s="12"/>
      <c r="B41" s="101" t="s">
        <v>59</v>
      </c>
      <c r="C41" s="128"/>
      <c r="D41" s="201"/>
      <c r="E41" s="854"/>
      <c r="F41" s="854"/>
    </row>
    <row r="42" spans="1:6" ht="15.75">
      <c r="A42" s="12" t="s">
        <v>416</v>
      </c>
      <c r="B42" s="99" t="s">
        <v>417</v>
      </c>
      <c r="C42" s="128">
        <v>1000000</v>
      </c>
      <c r="D42" s="201"/>
      <c r="E42" s="854">
        <f>C42+D42</f>
        <v>1000000</v>
      </c>
      <c r="F42" s="854">
        <v>1000000</v>
      </c>
    </row>
    <row r="43" spans="1:6" ht="15.75">
      <c r="A43" s="140" t="s">
        <v>170</v>
      </c>
      <c r="B43" s="6"/>
      <c r="C43" s="456">
        <f>SUM(C42)</f>
        <v>1000000</v>
      </c>
      <c r="D43" s="456">
        <f>SUM(D42)</f>
        <v>0</v>
      </c>
      <c r="E43" s="486">
        <f>SUM(E42)</f>
        <v>1000000</v>
      </c>
      <c r="F43" s="486">
        <f>SUM(F42)</f>
        <v>1000000</v>
      </c>
    </row>
    <row r="44" spans="1:6" ht="15.75">
      <c r="A44" s="12"/>
      <c r="B44" s="101" t="s">
        <v>68</v>
      </c>
      <c r="C44" s="128"/>
      <c r="D44" s="201"/>
      <c r="E44" s="854"/>
      <c r="F44" s="854"/>
    </row>
    <row r="45" spans="1:6" ht="15.75">
      <c r="A45" s="12" t="s">
        <v>66</v>
      </c>
      <c r="B45" s="99" t="s">
        <v>67</v>
      </c>
      <c r="C45" s="128">
        <v>500000</v>
      </c>
      <c r="D45" s="201"/>
      <c r="E45" s="854">
        <f>C45+D45</f>
        <v>500000</v>
      </c>
      <c r="F45" s="854">
        <v>500000</v>
      </c>
    </row>
    <row r="46" spans="1:6" ht="15.75">
      <c r="A46" s="12" t="s">
        <v>73</v>
      </c>
      <c r="B46" s="99" t="s">
        <v>74</v>
      </c>
      <c r="C46" s="128">
        <v>125000</v>
      </c>
      <c r="D46" s="201"/>
      <c r="E46" s="854">
        <f>C46+D46</f>
        <v>125000</v>
      </c>
      <c r="F46" s="854">
        <v>150000</v>
      </c>
    </row>
    <row r="47" spans="1:6" ht="15.75">
      <c r="A47" s="12" t="s">
        <v>77</v>
      </c>
      <c r="B47" s="99" t="s">
        <v>78</v>
      </c>
      <c r="C47" s="128">
        <v>500000</v>
      </c>
      <c r="D47" s="201"/>
      <c r="E47" s="854">
        <f>C47+D47</f>
        <v>500000</v>
      </c>
      <c r="F47" s="854">
        <v>700000</v>
      </c>
    </row>
    <row r="48" spans="1:6" ht="15.75">
      <c r="A48" s="140" t="s">
        <v>170</v>
      </c>
      <c r="B48" s="6"/>
      <c r="C48" s="456">
        <f>SUM(C45:C47)</f>
        <v>1125000</v>
      </c>
      <c r="D48" s="456">
        <f>SUM(D45:D47)</f>
        <v>0</v>
      </c>
      <c r="E48" s="486">
        <f>SUM(E45:E47)</f>
        <v>1125000</v>
      </c>
      <c r="F48" s="486">
        <f>SUM(F45:F47)</f>
        <v>1350000</v>
      </c>
    </row>
    <row r="49" spans="1:6" ht="15.75">
      <c r="A49" s="12"/>
      <c r="B49" s="101" t="s">
        <v>84</v>
      </c>
      <c r="C49" s="128"/>
      <c r="D49" s="201"/>
      <c r="E49" s="854"/>
      <c r="F49" s="854"/>
    </row>
    <row r="50" spans="1:6" ht="15.75">
      <c r="A50" s="12" t="s">
        <v>82</v>
      </c>
      <c r="B50" s="99" t="s">
        <v>83</v>
      </c>
      <c r="C50" s="128">
        <v>200000</v>
      </c>
      <c r="D50" s="201"/>
      <c r="E50" s="854">
        <f>C50+D50</f>
        <v>200000</v>
      </c>
      <c r="F50" s="854">
        <v>600000</v>
      </c>
    </row>
    <row r="51" spans="1:6" ht="15.75">
      <c r="A51" s="12" t="s">
        <v>85</v>
      </c>
      <c r="B51" s="99" t="s">
        <v>86</v>
      </c>
      <c r="C51" s="128">
        <v>1000000</v>
      </c>
      <c r="D51" s="201"/>
      <c r="E51" s="854">
        <f>C51+D51</f>
        <v>1000000</v>
      </c>
      <c r="F51" s="854">
        <v>1500000</v>
      </c>
    </row>
    <row r="52" spans="1:6" ht="15.75">
      <c r="A52" s="140" t="s">
        <v>170</v>
      </c>
      <c r="B52" s="6"/>
      <c r="C52" s="456">
        <f>SUM(C50:C51)</f>
        <v>1200000</v>
      </c>
      <c r="D52" s="456">
        <f>SUM(D50:D51)</f>
        <v>0</v>
      </c>
      <c r="E52" s="486">
        <f>SUM(E50:E51)</f>
        <v>1200000</v>
      </c>
      <c r="F52" s="486">
        <f>SUM(F50:F51)</f>
        <v>2100000</v>
      </c>
    </row>
    <row r="53" spans="1:6" ht="15.75">
      <c r="A53" s="179"/>
      <c r="B53" s="66" t="s">
        <v>344</v>
      </c>
      <c r="C53" s="457"/>
      <c r="D53" s="201"/>
      <c r="E53" s="854"/>
      <c r="F53" s="854"/>
    </row>
    <row r="54" spans="1:6" ht="15.75">
      <c r="A54" s="85">
        <v>2211006</v>
      </c>
      <c r="B54" s="56" t="s">
        <v>434</v>
      </c>
      <c r="C54" s="458">
        <v>0</v>
      </c>
      <c r="D54" s="201"/>
      <c r="E54" s="854">
        <f>C54+D54</f>
        <v>0</v>
      </c>
      <c r="F54" s="854"/>
    </row>
    <row r="55" spans="1:6" ht="15.75">
      <c r="A55" s="140" t="s">
        <v>170</v>
      </c>
      <c r="B55" s="6"/>
      <c r="C55" s="456">
        <v>0</v>
      </c>
      <c r="D55" s="456">
        <v>0</v>
      </c>
      <c r="E55" s="486">
        <v>0</v>
      </c>
      <c r="F55" s="486">
        <v>0</v>
      </c>
    </row>
    <row r="56" spans="1:6" ht="15.75">
      <c r="A56" s="12"/>
      <c r="B56" s="101" t="s">
        <v>124</v>
      </c>
      <c r="C56" s="128"/>
      <c r="D56" s="201"/>
      <c r="E56" s="854"/>
      <c r="F56" s="854"/>
    </row>
    <row r="57" spans="1:6" ht="15.75">
      <c r="A57" s="12" t="s">
        <v>122</v>
      </c>
      <c r="B57" s="99" t="s">
        <v>123</v>
      </c>
      <c r="C57" s="128">
        <v>1000000</v>
      </c>
      <c r="D57" s="201"/>
      <c r="E57" s="854">
        <f>C57+D57</f>
        <v>1000000</v>
      </c>
      <c r="F57" s="854">
        <v>1000000</v>
      </c>
    </row>
    <row r="58" spans="1:6" ht="15.75">
      <c r="A58" s="12" t="s">
        <v>125</v>
      </c>
      <c r="B58" s="99" t="s">
        <v>126</v>
      </c>
      <c r="C58" s="128">
        <v>600000</v>
      </c>
      <c r="D58" s="201"/>
      <c r="E58" s="854">
        <f>C58+D58</f>
        <v>600000</v>
      </c>
      <c r="F58" s="854">
        <v>600000</v>
      </c>
    </row>
    <row r="59" spans="1:6" ht="15.75">
      <c r="A59" s="12" t="s">
        <v>127</v>
      </c>
      <c r="B59" s="99" t="s">
        <v>128</v>
      </c>
      <c r="C59" s="128">
        <v>100000</v>
      </c>
      <c r="D59" s="201"/>
      <c r="E59" s="854">
        <f>C59+D59</f>
        <v>100000</v>
      </c>
      <c r="F59" s="854">
        <v>300000</v>
      </c>
    </row>
    <row r="60" spans="1:6" ht="15.75">
      <c r="A60" s="140" t="s">
        <v>170</v>
      </c>
      <c r="B60" s="6"/>
      <c r="C60" s="456">
        <f>SUM(C57:C59)</f>
        <v>1700000</v>
      </c>
      <c r="D60" s="456">
        <f>SUM(D57:D59)</f>
        <v>0</v>
      </c>
      <c r="E60" s="486">
        <f>SUM(E57:E59)</f>
        <v>1700000</v>
      </c>
      <c r="F60" s="486">
        <f>SUM(F57:F59)</f>
        <v>1900000</v>
      </c>
    </row>
    <row r="61" spans="1:6" ht="15.75">
      <c r="A61" s="12"/>
      <c r="B61" s="101" t="s">
        <v>131</v>
      </c>
      <c r="C61" s="128"/>
      <c r="D61" s="201"/>
      <c r="E61" s="854"/>
      <c r="F61" s="854"/>
    </row>
    <row r="62" spans="1:6" ht="15.75">
      <c r="A62" s="12" t="s">
        <v>129</v>
      </c>
      <c r="B62" s="99" t="s">
        <v>130</v>
      </c>
      <c r="C62" s="128">
        <v>4000000</v>
      </c>
      <c r="D62" s="201"/>
      <c r="E62" s="854">
        <f>C62+D62</f>
        <v>4000000</v>
      </c>
      <c r="F62" s="854">
        <v>4000000</v>
      </c>
    </row>
    <row r="63" spans="1:6" ht="15.75">
      <c r="A63" s="12" t="s">
        <v>435</v>
      </c>
      <c r="B63" s="99" t="s">
        <v>436</v>
      </c>
      <c r="C63" s="128">
        <v>100000</v>
      </c>
      <c r="D63" s="201"/>
      <c r="E63" s="854">
        <f>C63+D63</f>
        <v>100000</v>
      </c>
      <c r="F63" s="854">
        <v>300000</v>
      </c>
    </row>
    <row r="64" spans="1:6" ht="15.75">
      <c r="A64" s="140" t="s">
        <v>170</v>
      </c>
      <c r="B64" s="6"/>
      <c r="C64" s="456">
        <f>SUM(C62:C63)</f>
        <v>4100000</v>
      </c>
      <c r="D64" s="456">
        <f>SUM(D62:D63)</f>
        <v>0</v>
      </c>
      <c r="E64" s="486">
        <f>SUM(E62:E63)</f>
        <v>4100000</v>
      </c>
      <c r="F64" s="486">
        <f>SUM(F62:F63)</f>
        <v>4300000</v>
      </c>
    </row>
    <row r="65" spans="1:6" ht="15.75">
      <c r="A65" s="12"/>
      <c r="B65" s="101" t="s">
        <v>136</v>
      </c>
      <c r="C65" s="128"/>
      <c r="D65" s="201"/>
      <c r="E65" s="854"/>
      <c r="F65" s="854"/>
    </row>
    <row r="66" spans="1:6" ht="15.75">
      <c r="A66" s="12">
        <v>3111009</v>
      </c>
      <c r="B66" s="99" t="s">
        <v>329</v>
      </c>
      <c r="C66" s="128">
        <v>500000</v>
      </c>
      <c r="D66" s="201"/>
      <c r="E66" s="854">
        <f>D66+C66</f>
        <v>500000</v>
      </c>
      <c r="F66" s="854">
        <v>1000000</v>
      </c>
    </row>
    <row r="67" spans="1:6" ht="15.75">
      <c r="A67" s="12">
        <v>3111001</v>
      </c>
      <c r="B67" s="99" t="s">
        <v>167</v>
      </c>
      <c r="C67" s="128">
        <v>500000</v>
      </c>
      <c r="D67" s="201">
        <v>-500000</v>
      </c>
      <c r="E67" s="854">
        <f>D67+C67</f>
        <v>0</v>
      </c>
      <c r="F67" s="854">
        <v>1000000</v>
      </c>
    </row>
    <row r="68" spans="1:6" s="504" customFormat="1" ht="15.75">
      <c r="A68" s="506"/>
      <c r="B68" s="505" t="s">
        <v>348</v>
      </c>
      <c r="C68" s="128"/>
      <c r="D68" s="201"/>
      <c r="E68" s="854"/>
      <c r="F68" s="809">
        <v>5000000</v>
      </c>
    </row>
    <row r="69" spans="1:6" ht="15.75">
      <c r="A69" s="12" t="s">
        <v>139</v>
      </c>
      <c r="B69" s="99" t="s">
        <v>140</v>
      </c>
      <c r="C69" s="128">
        <v>200000</v>
      </c>
      <c r="D69" s="201"/>
      <c r="E69" s="854">
        <f>D69+C69</f>
        <v>200000</v>
      </c>
      <c r="F69" s="854">
        <v>350000</v>
      </c>
    </row>
    <row r="70" spans="1:6" ht="15.75">
      <c r="A70" s="12" t="s">
        <v>420</v>
      </c>
      <c r="B70" s="99" t="s">
        <v>421</v>
      </c>
      <c r="C70" s="128">
        <v>1500000</v>
      </c>
      <c r="D70" s="201"/>
      <c r="E70" s="854">
        <f>D70+C70</f>
        <v>1500000</v>
      </c>
      <c r="F70" s="854">
        <v>2000000</v>
      </c>
    </row>
    <row r="71" spans="1:6" ht="15.75">
      <c r="A71" s="140" t="s">
        <v>170</v>
      </c>
      <c r="B71" s="6"/>
      <c r="C71" s="456">
        <f>SUM(C66:C70)</f>
        <v>2700000</v>
      </c>
      <c r="D71" s="456">
        <f>SUM(D66:D70)</f>
        <v>-500000</v>
      </c>
      <c r="E71" s="486">
        <f>SUM(E66:E70)</f>
        <v>2200000</v>
      </c>
      <c r="F71" s="486">
        <f>SUM(F66:F70)</f>
        <v>9350000</v>
      </c>
    </row>
    <row r="72" spans="1:6" ht="15.75">
      <c r="A72" s="12"/>
      <c r="B72" s="101" t="s">
        <v>151</v>
      </c>
      <c r="C72" s="128"/>
      <c r="D72" s="201"/>
      <c r="E72" s="854"/>
      <c r="F72" s="854"/>
    </row>
    <row r="73" spans="1:6" ht="15.75">
      <c r="A73" s="12" t="s">
        <v>149</v>
      </c>
      <c r="B73" s="99" t="s">
        <v>150</v>
      </c>
      <c r="C73" s="128">
        <v>1000000</v>
      </c>
      <c r="D73" s="201"/>
      <c r="E73" s="854">
        <f>C73+D73</f>
        <v>1000000</v>
      </c>
      <c r="F73" s="854">
        <v>1000000</v>
      </c>
    </row>
    <row r="74" spans="1:6" ht="15.75">
      <c r="A74" s="140" t="s">
        <v>170</v>
      </c>
      <c r="B74" s="6"/>
      <c r="C74" s="456">
        <f>SUM(C73)</f>
        <v>1000000</v>
      </c>
      <c r="D74" s="456">
        <f>SUM(D73)</f>
        <v>0</v>
      </c>
      <c r="E74" s="486">
        <f>SUM(E73)</f>
        <v>1000000</v>
      </c>
      <c r="F74" s="486">
        <f>SUM(F73)</f>
        <v>1000000</v>
      </c>
    </row>
    <row r="75" spans="1:6" s="98" customFormat="1" ht="15.75">
      <c r="A75" s="140"/>
      <c r="B75" s="6" t="s">
        <v>768</v>
      </c>
      <c r="C75" s="456">
        <f>SUM(C74,C71,C64,C60,C55,C52,C48,C43,C40,C34,C28,C23,C18,)</f>
        <v>20145000</v>
      </c>
      <c r="D75" s="456">
        <f>SUM(D74,D71,D64,D60,D55,D52,D48,D43,D40,D34,D28,D23,D18,)</f>
        <v>-500000</v>
      </c>
      <c r="E75" s="486">
        <f>SUM(E74,E71,E64,E60,E55,E52,E48,E43,E40,E34,E28,E23,E18,)</f>
        <v>19645000</v>
      </c>
      <c r="F75" s="486">
        <f>SUM(F74,F71,F64,F60,F55,F52,F48,F43,F40,F34,F28,F23,F18,)</f>
        <v>29320000</v>
      </c>
    </row>
    <row r="76" spans="1:6" s="98" customFormat="1" ht="15.75">
      <c r="A76" s="140"/>
      <c r="B76" s="6" t="s">
        <v>687</v>
      </c>
      <c r="C76" s="456">
        <f>SUM(C75,C13)</f>
        <v>109395000</v>
      </c>
      <c r="D76" s="456">
        <f>SUM(D75,D13)</f>
        <v>-500000</v>
      </c>
      <c r="E76" s="486">
        <f>SUM(E75,E13)</f>
        <v>108895000</v>
      </c>
      <c r="F76" s="486">
        <f>SUM(F75,F13)</f>
        <v>122140000</v>
      </c>
    </row>
    <row r="77" spans="1:6" s="2" customFormat="1" ht="15.75">
      <c r="A77" s="179">
        <v>11002</v>
      </c>
      <c r="B77" s="64" t="s">
        <v>731</v>
      </c>
      <c r="C77" s="457"/>
      <c r="D77" s="417"/>
      <c r="E77" s="845"/>
      <c r="F77" s="845"/>
    </row>
    <row r="78" spans="1:6" s="98" customFormat="1" ht="15.75">
      <c r="A78" s="12">
        <v>2210309</v>
      </c>
      <c r="B78" s="99" t="s">
        <v>433</v>
      </c>
      <c r="C78" s="128">
        <v>4000000</v>
      </c>
      <c r="D78" s="201"/>
      <c r="E78" s="854">
        <f>C78+D78</f>
        <v>4000000</v>
      </c>
      <c r="F78" s="854">
        <v>2500000</v>
      </c>
    </row>
    <row r="79" spans="1:6" s="98" customFormat="1" ht="15.75">
      <c r="A79" s="12" t="s">
        <v>137</v>
      </c>
      <c r="B79" s="99" t="s">
        <v>437</v>
      </c>
      <c r="C79" s="128">
        <v>2000000</v>
      </c>
      <c r="D79" s="201"/>
      <c r="E79" s="854">
        <f>C79+D79</f>
        <v>2000000</v>
      </c>
      <c r="F79" s="854">
        <v>1000000</v>
      </c>
    </row>
    <row r="80" spans="1:6" s="2" customFormat="1" ht="15.75">
      <c r="A80" s="140" t="s">
        <v>170</v>
      </c>
      <c r="B80" s="6" t="s">
        <v>853</v>
      </c>
      <c r="C80" s="456">
        <f>SUM(C78:C79)</f>
        <v>6000000</v>
      </c>
      <c r="D80" s="456">
        <f>SUM(D78:D79)</f>
        <v>0</v>
      </c>
      <c r="E80" s="486">
        <f>SUM(E78:E79)</f>
        <v>6000000</v>
      </c>
      <c r="F80" s="486">
        <f>SUM(F78:F79)</f>
        <v>3500000</v>
      </c>
    </row>
    <row r="81" spans="1:6" s="2" customFormat="1" ht="15.75" hidden="1">
      <c r="A81" s="179">
        <v>310000</v>
      </c>
      <c r="B81" s="64" t="s">
        <v>763</v>
      </c>
      <c r="C81" s="457"/>
      <c r="D81" s="417"/>
      <c r="E81" s="845"/>
      <c r="F81" s="845"/>
    </row>
    <row r="82" spans="1:6" s="308" customFormat="1" ht="15.75" hidden="1">
      <c r="A82" s="151">
        <v>3110401</v>
      </c>
      <c r="B82" s="56" t="s">
        <v>827</v>
      </c>
      <c r="C82" s="458">
        <v>211541743</v>
      </c>
      <c r="D82" s="432" t="e">
        <f>'PROJECTS DETAILS'!#REF!</f>
        <v>#REF!</v>
      </c>
      <c r="E82" s="845" t="e">
        <f>C82+D82</f>
        <v>#REF!</v>
      </c>
      <c r="F82" s="845"/>
    </row>
    <row r="83" spans="1:6" s="308" customFormat="1" ht="15.75" hidden="1">
      <c r="A83" s="151">
        <v>3110401</v>
      </c>
      <c r="B83" s="56" t="s">
        <v>828</v>
      </c>
      <c r="C83" s="458">
        <v>135000000</v>
      </c>
      <c r="D83" s="432" t="e">
        <f>'PROJECTS DETAILS'!#REF!</f>
        <v>#REF!</v>
      </c>
      <c r="E83" s="845" t="e">
        <f>C83+D83</f>
        <v>#REF!</v>
      </c>
      <c r="F83" s="845"/>
    </row>
    <row r="84" spans="1:6" s="308" customFormat="1" ht="15.75" hidden="1">
      <c r="A84" s="151"/>
      <c r="B84" s="56" t="s">
        <v>926</v>
      </c>
      <c r="C84" s="458">
        <v>137000000</v>
      </c>
      <c r="D84" s="432" t="e">
        <f>'PROJECTS DETAILS'!#REF!</f>
        <v>#REF!</v>
      </c>
      <c r="E84" s="845" t="e">
        <f>C84+D84</f>
        <v>#REF!</v>
      </c>
      <c r="F84" s="845"/>
    </row>
    <row r="85" spans="1:6" s="308" customFormat="1" ht="15.75" hidden="1">
      <c r="A85" s="151">
        <v>3110601</v>
      </c>
      <c r="B85" s="56" t="s">
        <v>219</v>
      </c>
      <c r="C85" s="458">
        <v>342610713</v>
      </c>
      <c r="D85" s="432" t="e">
        <f>'PROJECTS DETAILS'!#REF!+'PROJECTS DETAILS'!#REF!</f>
        <v>#REF!</v>
      </c>
      <c r="E85" s="845" t="e">
        <f>C85+D85</f>
        <v>#REF!</v>
      </c>
      <c r="F85" s="845"/>
    </row>
    <row r="86" spans="1:6" s="308" customFormat="1" ht="15.75" hidden="1">
      <c r="A86" s="151">
        <v>3110601</v>
      </c>
      <c r="B86" s="56" t="s">
        <v>829</v>
      </c>
      <c r="C86" s="458">
        <v>45000000</v>
      </c>
      <c r="D86" s="432" t="e">
        <f>'PROJECTS DETAILS'!#REF!</f>
        <v>#REF!</v>
      </c>
      <c r="E86" s="845" t="e">
        <f>C86+D86</f>
        <v>#REF!</v>
      </c>
      <c r="F86" s="845"/>
    </row>
    <row r="87" spans="1:6" s="2" customFormat="1" ht="15.75" hidden="1">
      <c r="A87" s="140"/>
      <c r="B87" s="292" t="s">
        <v>830</v>
      </c>
      <c r="C87" s="370">
        <f>SUM(C82:C86)</f>
        <v>871152456</v>
      </c>
      <c r="D87" s="370" t="e">
        <f>SUM(D82:D86)</f>
        <v>#REF!</v>
      </c>
      <c r="E87" s="495"/>
      <c r="F87" s="495">
        <f>SUM(F82:F86)</f>
        <v>0</v>
      </c>
    </row>
    <row r="88" spans="1:6" s="2" customFormat="1" ht="15.75">
      <c r="A88" s="291"/>
      <c r="B88" s="292" t="s">
        <v>831</v>
      </c>
      <c r="C88" s="370">
        <f>SUM(C87,C80)</f>
        <v>877152456</v>
      </c>
      <c r="D88" s="370" t="e">
        <f>SUM(D87,D80)</f>
        <v>#REF!</v>
      </c>
      <c r="E88" s="495">
        <f>SUM(E87,E80)</f>
        <v>6000000</v>
      </c>
      <c r="F88" s="495">
        <f>SUM(F87,F80)</f>
        <v>3500000</v>
      </c>
    </row>
    <row r="89" spans="1:6" ht="15.75">
      <c r="A89" s="140"/>
      <c r="B89" s="140" t="s">
        <v>171</v>
      </c>
      <c r="C89" s="456">
        <f>SUM(C80,C75)</f>
        <v>26145000</v>
      </c>
      <c r="D89" s="456">
        <f>SUM(D80,D75)</f>
        <v>-500000</v>
      </c>
      <c r="E89" s="486">
        <f>SUM(E80,E75)</f>
        <v>25645000</v>
      </c>
      <c r="F89" s="486">
        <f>SUM(F80,F75)</f>
        <v>32820000</v>
      </c>
    </row>
    <row r="90" spans="1:6" ht="15.75">
      <c r="A90" s="140"/>
      <c r="B90" s="140" t="s">
        <v>784</v>
      </c>
      <c r="C90" s="456">
        <f>SUM(C89,C13)</f>
        <v>115395000</v>
      </c>
      <c r="D90" s="456">
        <f>SUM(D89,D13)</f>
        <v>-500000</v>
      </c>
      <c r="E90" s="486">
        <f>SUM(E89,E13)</f>
        <v>114895000</v>
      </c>
      <c r="F90" s="486">
        <f>SUM(F89,F13)</f>
        <v>125640000</v>
      </c>
    </row>
    <row r="91" spans="1:6" s="98" customFormat="1" ht="15.75">
      <c r="A91" s="140"/>
      <c r="B91" s="6" t="s">
        <v>787</v>
      </c>
      <c r="C91" s="456">
        <f>C87</f>
        <v>871152456</v>
      </c>
      <c r="D91" s="456" t="e">
        <f>D87</f>
        <v>#REF!</v>
      </c>
      <c r="E91" s="486"/>
      <c r="F91" s="486"/>
    </row>
    <row r="92" spans="1:6" s="98" customFormat="1" ht="15.75">
      <c r="A92" s="140"/>
      <c r="B92" s="6" t="s">
        <v>790</v>
      </c>
      <c r="C92" s="456">
        <f>SUM(C91,C90)</f>
        <v>986547456</v>
      </c>
      <c r="D92" s="456" t="e">
        <f>SUM(D91,D90)</f>
        <v>#REF!</v>
      </c>
      <c r="E92" s="486">
        <f>SUM(E91,E90)</f>
        <v>114895000</v>
      </c>
      <c r="F92" s="486">
        <f>SUM(F91,F90)</f>
        <v>125640000</v>
      </c>
    </row>
    <row r="93" spans="1:5" ht="15.75">
      <c r="A93" s="298"/>
      <c r="B93" s="299"/>
      <c r="C93" s="459">
        <v>48390000</v>
      </c>
      <c r="D93">
        <v>12280000</v>
      </c>
      <c r="E93" s="851">
        <v>60670000</v>
      </c>
    </row>
    <row r="94" spans="1:5" ht="15.75">
      <c r="A94" s="298"/>
      <c r="B94" s="299"/>
      <c r="C94" s="459">
        <f>C90+C93</f>
        <v>163785000</v>
      </c>
      <c r="D94" s="459">
        <f>D90+D93</f>
        <v>11780000</v>
      </c>
      <c r="E94" s="855">
        <f>E90+E93</f>
        <v>175565000</v>
      </c>
    </row>
    <row r="95" spans="1:4" ht="15.75">
      <c r="A95" s="298"/>
      <c r="B95" s="299"/>
      <c r="C95" s="459"/>
      <c r="D95" s="680">
        <f>E90+'PUBLIC WORKS'!E80</f>
        <v>175565000</v>
      </c>
    </row>
    <row r="96" spans="1:3" ht="15.75">
      <c r="A96" s="298"/>
      <c r="B96" s="299"/>
      <c r="C96" s="459"/>
    </row>
  </sheetData>
  <sheetProtection/>
  <mergeCells count="2">
    <mergeCell ref="A1:C1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2"/>
  <sheetViews>
    <sheetView view="pageBreakPreview" zoomScale="160" zoomScaleSheetLayoutView="160" zoomScalePageLayoutView="0" workbookViewId="0" topLeftCell="B1">
      <pane ySplit="2" topLeftCell="A64" activePane="bottomLeft" state="frozen"/>
      <selection pane="topLeft" activeCell="A1" sqref="A1"/>
      <selection pane="bottomLeft" activeCell="B61" sqref="A61:IV69"/>
    </sheetView>
  </sheetViews>
  <sheetFormatPr defaultColWidth="9.140625" defaultRowHeight="15"/>
  <cols>
    <col min="1" max="1" width="12.140625" style="209" customWidth="1"/>
    <col min="2" max="2" width="72.8515625" style="1" customWidth="1"/>
    <col min="3" max="3" width="16.421875" style="1" hidden="1" customWidth="1"/>
    <col min="4" max="4" width="18.28125" style="519" hidden="1" customWidth="1"/>
    <col min="5" max="5" width="15.8515625" style="826" customWidth="1"/>
    <col min="6" max="6" width="20.8515625" style="851" customWidth="1"/>
  </cols>
  <sheetData>
    <row r="1" spans="1:3" ht="15.75">
      <c r="A1" s="921" t="s">
        <v>216</v>
      </c>
      <c r="B1" s="922"/>
      <c r="C1" s="929"/>
    </row>
    <row r="2" spans="1:6" s="21" customFormat="1" ht="63">
      <c r="A2" s="904" t="s">
        <v>168</v>
      </c>
      <c r="B2" s="923"/>
      <c r="C2" s="192" t="s">
        <v>996</v>
      </c>
      <c r="D2" s="490" t="s">
        <v>995</v>
      </c>
      <c r="E2" s="561" t="s">
        <v>997</v>
      </c>
      <c r="F2" s="812" t="s">
        <v>1068</v>
      </c>
    </row>
    <row r="3" spans="1:6" s="21" customFormat="1" ht="15.75">
      <c r="A3" s="200">
        <v>11003</v>
      </c>
      <c r="B3" s="200" t="s">
        <v>733</v>
      </c>
      <c r="C3" s="192"/>
      <c r="D3" s="520"/>
      <c r="E3" s="574"/>
      <c r="F3" s="853"/>
    </row>
    <row r="4" spans="1:6" s="21" customFormat="1" ht="15.75">
      <c r="A4" s="202">
        <v>2200000</v>
      </c>
      <c r="B4" s="64" t="s">
        <v>679</v>
      </c>
      <c r="C4" s="192"/>
      <c r="D4" s="520"/>
      <c r="E4" s="574"/>
      <c r="F4" s="853"/>
    </row>
    <row r="5" spans="1:6" ht="15.75">
      <c r="A5" s="12"/>
      <c r="B5" s="101" t="s">
        <v>21</v>
      </c>
      <c r="C5" s="208"/>
      <c r="D5" s="518"/>
      <c r="E5" s="833"/>
      <c r="F5" s="854"/>
    </row>
    <row r="6" spans="1:6" ht="15.75">
      <c r="A6" s="12" t="s">
        <v>19</v>
      </c>
      <c r="B6" s="99" t="s">
        <v>20</v>
      </c>
      <c r="C6" s="60">
        <v>150000</v>
      </c>
      <c r="D6" s="518"/>
      <c r="E6" s="833">
        <f>C6+D6</f>
        <v>150000</v>
      </c>
      <c r="F6" s="854">
        <v>200000</v>
      </c>
    </row>
    <row r="7" spans="1:6" ht="15.75">
      <c r="A7" s="12" t="s">
        <v>22</v>
      </c>
      <c r="B7" s="99" t="s">
        <v>23</v>
      </c>
      <c r="C7" s="60">
        <v>25000</v>
      </c>
      <c r="D7" s="518"/>
      <c r="E7" s="833">
        <f>C7+D7</f>
        <v>25000</v>
      </c>
      <c r="F7" s="854">
        <v>50000</v>
      </c>
    </row>
    <row r="8" spans="1:6" ht="15.75">
      <c r="A8" s="140" t="s">
        <v>170</v>
      </c>
      <c r="B8" s="6"/>
      <c r="C8" s="61">
        <f>SUM(C6:C7)</f>
        <v>175000</v>
      </c>
      <c r="D8" s="486">
        <f>SUM(D6:D7)</f>
        <v>0</v>
      </c>
      <c r="E8" s="486">
        <f>SUM(E6:E7)</f>
        <v>175000</v>
      </c>
      <c r="F8" s="486">
        <f>SUM(F6:F7)</f>
        <v>250000</v>
      </c>
    </row>
    <row r="9" spans="1:6" ht="15.75">
      <c r="A9" s="12"/>
      <c r="B9" s="101" t="s">
        <v>28</v>
      </c>
      <c r="C9" s="60"/>
      <c r="D9" s="518"/>
      <c r="E9" s="833"/>
      <c r="F9" s="854"/>
    </row>
    <row r="10" spans="1:6" ht="15.75">
      <c r="A10" s="12" t="s">
        <v>26</v>
      </c>
      <c r="B10" s="99" t="s">
        <v>27</v>
      </c>
      <c r="C10" s="60">
        <v>80000</v>
      </c>
      <c r="D10" s="518"/>
      <c r="E10" s="833">
        <f>C10+D10</f>
        <v>80000</v>
      </c>
      <c r="F10" s="854">
        <v>100000</v>
      </c>
    </row>
    <row r="11" spans="1:6" ht="15.75">
      <c r="A11" s="12" t="s">
        <v>29</v>
      </c>
      <c r="B11" s="99" t="s">
        <v>30</v>
      </c>
      <c r="C11" s="60">
        <v>20000</v>
      </c>
      <c r="D11" s="518"/>
      <c r="E11" s="833">
        <f>C11+D11</f>
        <v>20000</v>
      </c>
      <c r="F11" s="854">
        <v>20000</v>
      </c>
    </row>
    <row r="12" spans="1:6" ht="15.75">
      <c r="A12" s="12" t="s">
        <v>31</v>
      </c>
      <c r="B12" s="99" t="s">
        <v>32</v>
      </c>
      <c r="C12" s="60">
        <v>10000</v>
      </c>
      <c r="D12" s="518"/>
      <c r="E12" s="833">
        <f>C12+D12</f>
        <v>10000</v>
      </c>
      <c r="F12" s="854">
        <v>10000</v>
      </c>
    </row>
    <row r="13" spans="1:6" ht="15.75">
      <c r="A13" s="140" t="s">
        <v>170</v>
      </c>
      <c r="B13" s="6"/>
      <c r="C13" s="61">
        <f>SUM(C10:C12)</f>
        <v>110000</v>
      </c>
      <c r="D13" s="486">
        <f>SUM(D10:D12)</f>
        <v>0</v>
      </c>
      <c r="E13" s="486">
        <f>SUM(E10:E12)</f>
        <v>110000</v>
      </c>
      <c r="F13" s="486">
        <f>SUM(F10:F12)</f>
        <v>130000</v>
      </c>
    </row>
    <row r="14" spans="1:6" ht="15.75">
      <c r="A14" s="12"/>
      <c r="B14" s="101" t="s">
        <v>35</v>
      </c>
      <c r="C14" s="60"/>
      <c r="D14" s="518"/>
      <c r="E14" s="833"/>
      <c r="F14" s="854"/>
    </row>
    <row r="15" spans="1:6" ht="15.75">
      <c r="A15" s="12" t="s">
        <v>33</v>
      </c>
      <c r="B15" s="99" t="s">
        <v>34</v>
      </c>
      <c r="C15" s="60">
        <v>800000</v>
      </c>
      <c r="D15" s="518"/>
      <c r="E15" s="833">
        <f>C15+D15</f>
        <v>800000</v>
      </c>
      <c r="F15" s="854">
        <v>300000</v>
      </c>
    </row>
    <row r="16" spans="1:6" ht="15.75">
      <c r="A16" s="12" t="s">
        <v>36</v>
      </c>
      <c r="B16" s="99" t="s">
        <v>37</v>
      </c>
      <c r="C16" s="60">
        <v>2000000</v>
      </c>
      <c r="D16" s="518"/>
      <c r="E16" s="833">
        <f>C16+D16</f>
        <v>2000000</v>
      </c>
      <c r="F16" s="854">
        <v>1500000</v>
      </c>
    </row>
    <row r="17" spans="1:6" ht="15.75">
      <c r="A17" s="12" t="s">
        <v>38</v>
      </c>
      <c r="B17" s="99" t="s">
        <v>39</v>
      </c>
      <c r="C17" s="60">
        <v>1000000</v>
      </c>
      <c r="D17" s="518"/>
      <c r="E17" s="833">
        <f>C17+D17</f>
        <v>1000000</v>
      </c>
      <c r="F17" s="854">
        <v>1500000</v>
      </c>
    </row>
    <row r="18" spans="1:6" ht="15.75">
      <c r="A18" s="12">
        <v>2210310</v>
      </c>
      <c r="B18" s="99" t="s">
        <v>415</v>
      </c>
      <c r="C18" s="60">
        <v>2500000</v>
      </c>
      <c r="D18" s="518"/>
      <c r="E18" s="833">
        <f>C18+D18</f>
        <v>2500000</v>
      </c>
      <c r="F18" s="854">
        <v>1500000</v>
      </c>
    </row>
    <row r="19" spans="1:6" ht="15.75">
      <c r="A19" s="140" t="s">
        <v>170</v>
      </c>
      <c r="B19" s="6"/>
      <c r="C19" s="61">
        <f>SUM(C15:C18)</f>
        <v>6300000</v>
      </c>
      <c r="D19" s="486">
        <f>SUM(D15:D18)</f>
        <v>0</v>
      </c>
      <c r="E19" s="486">
        <f>SUM(E15:E18)</f>
        <v>6300000</v>
      </c>
      <c r="F19" s="486">
        <f>SUM(F15:F18)</f>
        <v>4800000</v>
      </c>
    </row>
    <row r="20" spans="1:6" ht="15.75">
      <c r="A20" s="12"/>
      <c r="B20" s="101" t="s">
        <v>44</v>
      </c>
      <c r="C20" s="60"/>
      <c r="D20" s="518"/>
      <c r="E20" s="833"/>
      <c r="F20" s="854"/>
    </row>
    <row r="21" spans="1:6" ht="15.75">
      <c r="A21" s="12" t="s">
        <v>42</v>
      </c>
      <c r="B21" s="99" t="s">
        <v>43</v>
      </c>
      <c r="C21" s="60">
        <v>500000</v>
      </c>
      <c r="D21" s="518"/>
      <c r="E21" s="833">
        <f>C21+D21</f>
        <v>500000</v>
      </c>
      <c r="F21" s="854">
        <v>200000</v>
      </c>
    </row>
    <row r="22" spans="1:6" ht="15.75">
      <c r="A22" s="12" t="s">
        <v>45</v>
      </c>
      <c r="B22" s="99" t="s">
        <v>46</v>
      </c>
      <c r="C22" s="60">
        <v>750000</v>
      </c>
      <c r="D22" s="518"/>
      <c r="E22" s="833">
        <f>C22+D22</f>
        <v>750000</v>
      </c>
      <c r="F22" s="854">
        <v>300000</v>
      </c>
    </row>
    <row r="23" spans="1:6" ht="15.75">
      <c r="A23" s="12" t="s">
        <v>47</v>
      </c>
      <c r="B23" s="99" t="s">
        <v>39</v>
      </c>
      <c r="C23" s="60">
        <v>500000</v>
      </c>
      <c r="D23" s="518"/>
      <c r="E23" s="833">
        <f>C23+D23</f>
        <v>500000</v>
      </c>
      <c r="F23" s="854">
        <v>500000</v>
      </c>
    </row>
    <row r="24" spans="1:6" ht="15.75">
      <c r="A24" s="12" t="s">
        <v>48</v>
      </c>
      <c r="B24" s="99" t="s">
        <v>49</v>
      </c>
      <c r="C24" s="60">
        <v>75000</v>
      </c>
      <c r="D24" s="518"/>
      <c r="E24" s="833">
        <f>C24+D24</f>
        <v>75000</v>
      </c>
      <c r="F24" s="854">
        <v>100000</v>
      </c>
    </row>
    <row r="25" spans="1:6" ht="15.75">
      <c r="A25" s="140" t="s">
        <v>170</v>
      </c>
      <c r="B25" s="6"/>
      <c r="C25" s="61">
        <f>SUM(C21:C24)</f>
        <v>1825000</v>
      </c>
      <c r="D25" s="486">
        <f>SUM(D21:D24)</f>
        <v>0</v>
      </c>
      <c r="E25" s="486">
        <f>SUM(E21:E24)</f>
        <v>1825000</v>
      </c>
      <c r="F25" s="486">
        <f>SUM(F21:F24)</f>
        <v>1100000</v>
      </c>
    </row>
    <row r="26" spans="1:6" ht="15.75">
      <c r="A26" s="12"/>
      <c r="B26" s="101" t="s">
        <v>50</v>
      </c>
      <c r="C26" s="60"/>
      <c r="D26" s="518"/>
      <c r="E26" s="833"/>
      <c r="F26" s="854"/>
    </row>
    <row r="27" spans="1:6" ht="15.75">
      <c r="A27" s="12" t="s">
        <v>51</v>
      </c>
      <c r="B27" s="99" t="s">
        <v>52</v>
      </c>
      <c r="C27" s="60">
        <v>100000</v>
      </c>
      <c r="D27" s="518"/>
      <c r="E27" s="833">
        <f>C27+D27</f>
        <v>100000</v>
      </c>
      <c r="F27" s="854">
        <v>150000</v>
      </c>
    </row>
    <row r="28" spans="1:6" ht="15.75">
      <c r="A28" s="12" t="s">
        <v>53</v>
      </c>
      <c r="B28" s="99" t="s">
        <v>54</v>
      </c>
      <c r="C28" s="60">
        <v>30000</v>
      </c>
      <c r="D28" s="518"/>
      <c r="E28" s="833">
        <f>C28+D28</f>
        <v>30000</v>
      </c>
      <c r="F28" s="854">
        <v>100000</v>
      </c>
    </row>
    <row r="29" spans="1:6" ht="15.75">
      <c r="A29" s="12" t="s">
        <v>55</v>
      </c>
      <c r="B29" s="99" t="s">
        <v>56</v>
      </c>
      <c r="C29" s="60">
        <v>300000</v>
      </c>
      <c r="D29" s="518"/>
      <c r="E29" s="833">
        <f>C29+D29</f>
        <v>300000</v>
      </c>
      <c r="F29" s="854">
        <v>300000</v>
      </c>
    </row>
    <row r="30" spans="1:6" ht="15.75">
      <c r="A30" s="140" t="s">
        <v>170</v>
      </c>
      <c r="B30" s="6"/>
      <c r="C30" s="61">
        <f>SUM(C27:C29)</f>
        <v>430000</v>
      </c>
      <c r="D30" s="486">
        <f>SUM(D27:D29)</f>
        <v>0</v>
      </c>
      <c r="E30" s="486">
        <f>SUM(E27:E29)</f>
        <v>430000</v>
      </c>
      <c r="F30" s="486">
        <f>SUM(F27:F29)</f>
        <v>550000</v>
      </c>
    </row>
    <row r="31" spans="1:6" ht="15.75">
      <c r="A31" s="12"/>
      <c r="B31" s="101" t="s">
        <v>68</v>
      </c>
      <c r="C31" s="60"/>
      <c r="D31" s="518"/>
      <c r="E31" s="833"/>
      <c r="F31" s="854"/>
    </row>
    <row r="32" spans="1:6" ht="15.75">
      <c r="A32" s="12" t="s">
        <v>66</v>
      </c>
      <c r="B32" s="99" t="s">
        <v>67</v>
      </c>
      <c r="C32" s="60">
        <v>200000</v>
      </c>
      <c r="D32" s="518"/>
      <c r="E32" s="833">
        <f>C32+D32</f>
        <v>200000</v>
      </c>
      <c r="F32" s="854">
        <v>300000</v>
      </c>
    </row>
    <row r="33" spans="1:6" ht="15.75">
      <c r="A33" s="12" t="s">
        <v>73</v>
      </c>
      <c r="B33" s="99" t="s">
        <v>74</v>
      </c>
      <c r="C33" s="60">
        <v>300000</v>
      </c>
      <c r="D33" s="518"/>
      <c r="E33" s="833">
        <f>C33+D33</f>
        <v>300000</v>
      </c>
      <c r="F33" s="833">
        <v>300000</v>
      </c>
    </row>
    <row r="34" spans="1:6" ht="15.75">
      <c r="A34" s="12" t="s">
        <v>77</v>
      </c>
      <c r="B34" s="99" t="s">
        <v>78</v>
      </c>
      <c r="C34" s="60">
        <v>750000</v>
      </c>
      <c r="D34" s="518"/>
      <c r="E34" s="833">
        <f>C34+D34</f>
        <v>750000</v>
      </c>
      <c r="F34" s="854">
        <v>1000000</v>
      </c>
    </row>
    <row r="35" spans="1:6" ht="15.75">
      <c r="A35" s="140" t="s">
        <v>170</v>
      </c>
      <c r="B35" s="6"/>
      <c r="C35" s="61">
        <f>SUM(C32:C34)</f>
        <v>1250000</v>
      </c>
      <c r="D35" s="486">
        <f>SUM(D32:D34)</f>
        <v>0</v>
      </c>
      <c r="E35" s="486">
        <f>SUM(E32:E34)</f>
        <v>1250000</v>
      </c>
      <c r="F35" s="486">
        <f>SUM(F32:F34)</f>
        <v>1600000</v>
      </c>
    </row>
    <row r="36" spans="1:6" ht="15.75">
      <c r="A36" s="12"/>
      <c r="B36" s="101" t="s">
        <v>84</v>
      </c>
      <c r="C36" s="60"/>
      <c r="D36" s="518"/>
      <c r="E36" s="833"/>
      <c r="F36" s="854"/>
    </row>
    <row r="37" spans="1:6" ht="15.75">
      <c r="A37" s="12" t="s">
        <v>82</v>
      </c>
      <c r="B37" s="99" t="s">
        <v>83</v>
      </c>
      <c r="C37" s="60">
        <v>300000</v>
      </c>
      <c r="D37" s="518"/>
      <c r="E37" s="833">
        <f>C37+D37</f>
        <v>300000</v>
      </c>
      <c r="F37" s="833">
        <v>300000</v>
      </c>
    </row>
    <row r="38" spans="1:6" ht="15.75">
      <c r="A38" s="12" t="s">
        <v>85</v>
      </c>
      <c r="B38" s="99" t="s">
        <v>86</v>
      </c>
      <c r="C38" s="60">
        <v>1500000</v>
      </c>
      <c r="D38" s="518"/>
      <c r="E38" s="833">
        <f>C38+D38</f>
        <v>1500000</v>
      </c>
      <c r="F38" s="854">
        <v>1000000</v>
      </c>
    </row>
    <row r="39" spans="1:6" ht="15.75">
      <c r="A39" s="140" t="s">
        <v>170</v>
      </c>
      <c r="B39" s="6"/>
      <c r="C39" s="61">
        <f>SUM(C37:C38)</f>
        <v>1800000</v>
      </c>
      <c r="D39" s="486">
        <f>SUM(D37:D38)</f>
        <v>0</v>
      </c>
      <c r="E39" s="486">
        <f>SUM(E37:E38)</f>
        <v>1800000</v>
      </c>
      <c r="F39" s="486">
        <f>SUM(F37:F38)</f>
        <v>1300000</v>
      </c>
    </row>
    <row r="40" spans="1:6" ht="15.75">
      <c r="A40" s="12"/>
      <c r="B40" s="101" t="s">
        <v>124</v>
      </c>
      <c r="C40" s="60"/>
      <c r="D40" s="518"/>
      <c r="E40" s="833"/>
      <c r="F40" s="854"/>
    </row>
    <row r="41" spans="1:6" ht="15.75">
      <c r="A41" s="12" t="s">
        <v>122</v>
      </c>
      <c r="B41" s="99" t="s">
        <v>123</v>
      </c>
      <c r="C41" s="60">
        <v>500000</v>
      </c>
      <c r="D41" s="518"/>
      <c r="E41" s="833">
        <f>C41+D41</f>
        <v>500000</v>
      </c>
      <c r="F41" s="833">
        <v>800000</v>
      </c>
    </row>
    <row r="42" spans="1:6" ht="15.75">
      <c r="A42" s="12" t="s">
        <v>125</v>
      </c>
      <c r="B42" s="99" t="s">
        <v>126</v>
      </c>
      <c r="C42" s="60">
        <v>300000</v>
      </c>
      <c r="D42" s="518"/>
      <c r="E42" s="833">
        <f>C42+D42</f>
        <v>300000</v>
      </c>
      <c r="F42" s="854">
        <v>300000</v>
      </c>
    </row>
    <row r="43" spans="1:6" ht="15.75">
      <c r="A43" s="12" t="s">
        <v>127</v>
      </c>
      <c r="B43" s="99" t="s">
        <v>128</v>
      </c>
      <c r="C43" s="60">
        <v>150000</v>
      </c>
      <c r="D43" s="518"/>
      <c r="E43" s="833">
        <f>C43+D43</f>
        <v>150000</v>
      </c>
      <c r="F43" s="833">
        <v>250000</v>
      </c>
    </row>
    <row r="44" spans="1:6" ht="15.75">
      <c r="A44" s="140" t="s">
        <v>170</v>
      </c>
      <c r="B44" s="6"/>
      <c r="C44" s="61">
        <f>SUM(C41:C43)</f>
        <v>950000</v>
      </c>
      <c r="D44" s="486">
        <f>SUM(D41:D43)</f>
        <v>0</v>
      </c>
      <c r="E44" s="486">
        <f>SUM(E41:E43)</f>
        <v>950000</v>
      </c>
      <c r="F44" s="486">
        <f>SUM(F41:F43)</f>
        <v>1350000</v>
      </c>
    </row>
    <row r="45" spans="1:6" ht="15.75">
      <c r="A45" s="12"/>
      <c r="B45" s="101" t="s">
        <v>131</v>
      </c>
      <c r="C45" s="60"/>
      <c r="D45" s="518"/>
      <c r="E45" s="833"/>
      <c r="F45" s="854"/>
    </row>
    <row r="46" spans="1:6" ht="15.75">
      <c r="A46" s="12" t="s">
        <v>129</v>
      </c>
      <c r="B46" s="99" t="s">
        <v>130</v>
      </c>
      <c r="C46" s="60">
        <v>1000000</v>
      </c>
      <c r="D46" s="518">
        <v>5230000</v>
      </c>
      <c r="E46" s="833">
        <f>C46+D46</f>
        <v>6230000</v>
      </c>
      <c r="F46" s="833">
        <v>3000000</v>
      </c>
    </row>
    <row r="47" spans="1:6" ht="15.75">
      <c r="A47" s="140" t="s">
        <v>170</v>
      </c>
      <c r="B47" s="6"/>
      <c r="C47" s="61">
        <f>SUM(C46)</f>
        <v>1000000</v>
      </c>
      <c r="D47" s="486">
        <f>SUM(D46)</f>
        <v>5230000</v>
      </c>
      <c r="E47" s="486">
        <f>SUM(E46)</f>
        <v>6230000</v>
      </c>
      <c r="F47" s="486">
        <f>SUM(F46)</f>
        <v>3000000</v>
      </c>
    </row>
    <row r="48" spans="1:6" ht="15.75">
      <c r="A48" s="12"/>
      <c r="B48" s="101" t="s">
        <v>136</v>
      </c>
      <c r="C48" s="60"/>
      <c r="D48" s="518"/>
      <c r="E48" s="833"/>
      <c r="F48" s="854"/>
    </row>
    <row r="49" spans="1:6" ht="15.75">
      <c r="A49" s="85">
        <v>3111009</v>
      </c>
      <c r="B49" s="99" t="s">
        <v>202</v>
      </c>
      <c r="C49" s="60">
        <v>100000</v>
      </c>
      <c r="D49" s="518"/>
      <c r="E49" s="833">
        <f>C49+D49</f>
        <v>100000</v>
      </c>
      <c r="F49" s="833">
        <v>100000</v>
      </c>
    </row>
    <row r="50" spans="1:6" ht="15.75">
      <c r="A50" s="85">
        <v>3111002</v>
      </c>
      <c r="B50" s="99" t="s">
        <v>429</v>
      </c>
      <c r="C50" s="60">
        <v>1000000</v>
      </c>
      <c r="D50" s="518">
        <v>1500000</v>
      </c>
      <c r="E50" s="833">
        <f>C50+D50</f>
        <v>2500000</v>
      </c>
      <c r="F50" s="833">
        <v>2500000</v>
      </c>
    </row>
    <row r="51" spans="1:6" ht="15.75">
      <c r="A51" s="85">
        <v>3110701</v>
      </c>
      <c r="B51" s="99" t="s">
        <v>348</v>
      </c>
      <c r="C51" s="60">
        <v>5000000</v>
      </c>
      <c r="D51" s="518">
        <v>-5000000</v>
      </c>
      <c r="E51" s="833">
        <f>C51+D51</f>
        <v>0</v>
      </c>
      <c r="F51" s="833">
        <v>5000000</v>
      </c>
    </row>
    <row r="52" spans="1:6" ht="15.75">
      <c r="A52" s="85">
        <v>3111001</v>
      </c>
      <c r="B52" s="99" t="s">
        <v>200</v>
      </c>
      <c r="C52" s="60">
        <v>500000</v>
      </c>
      <c r="D52" s="518"/>
      <c r="E52" s="833">
        <f>C52+D52</f>
        <v>500000</v>
      </c>
      <c r="F52" s="833">
        <v>2000000</v>
      </c>
    </row>
    <row r="53" spans="1:6" ht="15.75">
      <c r="A53" s="140" t="s">
        <v>170</v>
      </c>
      <c r="B53" s="6"/>
      <c r="C53" s="61">
        <f>SUM(C49:C52)</f>
        <v>6600000</v>
      </c>
      <c r="D53" s="486">
        <f>SUM(D49:D52)</f>
        <v>-3500000</v>
      </c>
      <c r="E53" s="486">
        <f>SUM(E49:E52)</f>
        <v>3100000</v>
      </c>
      <c r="F53" s="486">
        <f>SUM(F49:F52)</f>
        <v>9600000</v>
      </c>
    </row>
    <row r="54" spans="1:6" ht="15.75">
      <c r="A54" s="12"/>
      <c r="B54" s="101" t="s">
        <v>154</v>
      </c>
      <c r="C54" s="60"/>
      <c r="D54" s="518"/>
      <c r="E54" s="833"/>
      <c r="F54" s="854"/>
    </row>
    <row r="55" spans="1:6" s="504" customFormat="1" ht="15.75">
      <c r="A55" s="506" t="s">
        <v>149</v>
      </c>
      <c r="B55" s="505" t="s">
        <v>150</v>
      </c>
      <c r="C55" s="508">
        <v>0</v>
      </c>
      <c r="D55" s="710">
        <v>10000000</v>
      </c>
      <c r="E55" s="833">
        <f>C55+D55</f>
        <v>10000000</v>
      </c>
      <c r="F55" s="854">
        <v>10000000</v>
      </c>
    </row>
    <row r="56" spans="1:6" ht="15.75">
      <c r="A56" s="12">
        <v>2220201</v>
      </c>
      <c r="B56" s="99" t="s">
        <v>897</v>
      </c>
      <c r="C56" s="60">
        <v>20000000</v>
      </c>
      <c r="D56" s="576"/>
      <c r="E56" s="833">
        <f>C56+D56</f>
        <v>20000000</v>
      </c>
      <c r="F56" s="854">
        <v>30000000</v>
      </c>
    </row>
    <row r="57" spans="1:6" ht="15.75">
      <c r="A57" s="12" t="s">
        <v>159</v>
      </c>
      <c r="B57" s="99" t="s">
        <v>432</v>
      </c>
      <c r="C57" s="60">
        <v>2000000</v>
      </c>
      <c r="D57" s="576"/>
      <c r="E57" s="833">
        <f>C57+D57</f>
        <v>2000000</v>
      </c>
      <c r="F57" s="833">
        <v>2000000</v>
      </c>
    </row>
    <row r="58" spans="1:6" s="504" customFormat="1" ht="15.75">
      <c r="A58" s="506" t="s">
        <v>157</v>
      </c>
      <c r="B58" s="505" t="s">
        <v>158</v>
      </c>
      <c r="C58" s="508"/>
      <c r="D58" s="510">
        <v>700000</v>
      </c>
      <c r="E58" s="833">
        <f>C58+D58</f>
        <v>700000</v>
      </c>
      <c r="F58" s="854"/>
    </row>
    <row r="59" spans="1:6" ht="15.75">
      <c r="A59" s="140" t="s">
        <v>170</v>
      </c>
      <c r="B59" s="6" t="s">
        <v>931</v>
      </c>
      <c r="C59" s="61">
        <f>SUM(C55:C58)</f>
        <v>22000000</v>
      </c>
      <c r="D59" s="61">
        <f>SUM(D55:D58)</f>
        <v>10700000</v>
      </c>
      <c r="E59" s="486">
        <f>SUM(E55:E58)</f>
        <v>32700000</v>
      </c>
      <c r="F59" s="486">
        <f>SUM(F55:F58)</f>
        <v>42000000</v>
      </c>
    </row>
    <row r="60" spans="1:6" s="98" customFormat="1" ht="15.75">
      <c r="A60" s="140"/>
      <c r="B60" s="6" t="s">
        <v>833</v>
      </c>
      <c r="C60" s="61">
        <f>SUM(C59,C53,C47,C44,C39,C35,C30,C25,C19,C13,C8)</f>
        <v>42440000</v>
      </c>
      <c r="D60" s="486">
        <f>SUM(D59,D53,D47,D44,D39,D35,D30,D25,D19,D13,D8)</f>
        <v>12430000</v>
      </c>
      <c r="E60" s="486">
        <f>SUM(E59,E53,E47,E44,E39,E35,E30,E25,E19,E13,E8)</f>
        <v>54870000</v>
      </c>
      <c r="F60" s="486">
        <f>SUM(F59,F53,F47,F44,F39,F35,F30,F25,F19,F13,F8)</f>
        <v>65680000</v>
      </c>
    </row>
    <row r="61" spans="1:6" s="502" customFormat="1" ht="15.75" hidden="1">
      <c r="A61" s="179">
        <v>310000</v>
      </c>
      <c r="B61" s="64" t="s">
        <v>763</v>
      </c>
      <c r="C61" s="104"/>
      <c r="D61" s="576"/>
      <c r="E61" s="828"/>
      <c r="F61" s="845"/>
    </row>
    <row r="62" spans="1:6" s="502" customFormat="1" ht="15.75" hidden="1">
      <c r="A62" s="151">
        <v>3111116</v>
      </c>
      <c r="B62" s="43" t="s">
        <v>652</v>
      </c>
      <c r="C62" s="162" t="e">
        <f>'PROJECTS DETAILS'!#REF!</f>
        <v>#REF!</v>
      </c>
      <c r="D62" s="576" t="e">
        <f>'PROJECTS DETAILS'!#REF!</f>
        <v>#REF!</v>
      </c>
      <c r="E62" s="828" t="e">
        <f aca="true" t="shared" si="0" ref="E62:E68">C62+D62</f>
        <v>#REF!</v>
      </c>
      <c r="F62" s="845"/>
    </row>
    <row r="63" spans="1:6" s="502" customFormat="1" ht="15.75" hidden="1">
      <c r="A63" s="151">
        <v>3110501</v>
      </c>
      <c r="B63" s="161" t="s">
        <v>932</v>
      </c>
      <c r="C63" s="162" t="e">
        <f>SUM('PROJECTS DETAILS'!#REF!,'PROJECTS DETAILS'!#REF!,'PROJECTS DETAILS'!#REF!,'PROJECTS DETAILS'!#REF!)</f>
        <v>#REF!</v>
      </c>
      <c r="D63" s="576" t="e">
        <f>'PROJECTS DETAILS'!#REF!+'PROJECTS DETAILS'!#REF!+'PROJECTS DETAILS'!#REF!+'PROJECTS DETAILS'!#REF!+'PROJECTS DETAILS'!#REF!</f>
        <v>#REF!</v>
      </c>
      <c r="E63" s="828" t="e">
        <f t="shared" si="0"/>
        <v>#REF!</v>
      </c>
      <c r="F63" s="845"/>
    </row>
    <row r="64" spans="1:6" s="502" customFormat="1" ht="15.75" hidden="1">
      <c r="A64" s="151"/>
      <c r="B64" s="73" t="s">
        <v>1012</v>
      </c>
      <c r="C64" s="162"/>
      <c r="D64" s="576" t="e">
        <f>'PROJECTS DETAILS'!#REF!</f>
        <v>#REF!</v>
      </c>
      <c r="E64" s="828" t="e">
        <f t="shared" si="0"/>
        <v>#REF!</v>
      </c>
      <c r="F64" s="845"/>
    </row>
    <row r="65" spans="1:6" s="502" customFormat="1" ht="15.75" hidden="1">
      <c r="A65" s="151"/>
      <c r="B65" s="161" t="s">
        <v>1015</v>
      </c>
      <c r="C65" s="162"/>
      <c r="D65" s="576" t="e">
        <f>'PROJECTS DETAILS'!#REF!</f>
        <v>#REF!</v>
      </c>
      <c r="E65" s="828" t="e">
        <f t="shared" si="0"/>
        <v>#REF!</v>
      </c>
      <c r="F65" s="845"/>
    </row>
    <row r="66" spans="1:6" s="502" customFormat="1" ht="15.75" hidden="1">
      <c r="A66" s="151"/>
      <c r="B66" s="161" t="s">
        <v>1048</v>
      </c>
      <c r="C66" s="162" t="e">
        <f>'PROJECTS DETAILS'!#REF!</f>
        <v>#REF!</v>
      </c>
      <c r="D66" s="576" t="e">
        <f>'PROJECTS DETAILS'!#REF!</f>
        <v>#REF!</v>
      </c>
      <c r="E66" s="828" t="e">
        <f t="shared" si="0"/>
        <v>#REF!</v>
      </c>
      <c r="F66" s="845"/>
    </row>
    <row r="67" spans="1:6" s="502" customFormat="1" ht="15.75" hidden="1">
      <c r="A67" s="151">
        <v>3111504</v>
      </c>
      <c r="B67" s="161" t="s">
        <v>948</v>
      </c>
      <c r="C67" s="162" t="e">
        <f>'PROJECTS DETAILS'!#REF!</f>
        <v>#REF!</v>
      </c>
      <c r="D67" s="576" t="e">
        <f>'PROJECTS DETAILS'!#REF!</f>
        <v>#REF!</v>
      </c>
      <c r="E67" s="828" t="e">
        <f t="shared" si="0"/>
        <v>#REF!</v>
      </c>
      <c r="F67" s="845"/>
    </row>
    <row r="68" spans="1:6" s="502" customFormat="1" ht="15.75" hidden="1">
      <c r="A68" s="151">
        <v>3110599</v>
      </c>
      <c r="B68" s="43" t="s">
        <v>655</v>
      </c>
      <c r="C68" s="162" t="e">
        <f>'PROJECTS DETAILS'!#REF!</f>
        <v>#REF!</v>
      </c>
      <c r="D68" s="576" t="e">
        <f>'PROJECTS DETAILS'!#REF!</f>
        <v>#REF!</v>
      </c>
      <c r="E68" s="828" t="e">
        <f t="shared" si="0"/>
        <v>#REF!</v>
      </c>
      <c r="F68" s="845"/>
    </row>
    <row r="69" spans="1:6" s="2" customFormat="1" ht="15.75" hidden="1">
      <c r="A69" s="140"/>
      <c r="B69" s="292" t="s">
        <v>832</v>
      </c>
      <c r="C69" s="138" t="e">
        <f>SUM(C62:C68)</f>
        <v>#REF!</v>
      </c>
      <c r="D69" s="495" t="e">
        <f>'PROJECTS DETAILS'!#REF!</f>
        <v>#REF!</v>
      </c>
      <c r="E69" s="857"/>
      <c r="F69" s="857"/>
    </row>
    <row r="70" spans="1:6" s="2" customFormat="1" ht="15.75">
      <c r="A70" s="291"/>
      <c r="B70" s="292" t="s">
        <v>834</v>
      </c>
      <c r="C70" s="138" t="e">
        <f>SUM(C69,C60)</f>
        <v>#REF!</v>
      </c>
      <c r="D70" s="495" t="e">
        <f>SUM(D69,D60)</f>
        <v>#REF!</v>
      </c>
      <c r="E70" s="495">
        <f>SUM(E69,E60)</f>
        <v>54870000</v>
      </c>
      <c r="F70" s="495">
        <f>SUM(F69,F60)</f>
        <v>65680000</v>
      </c>
    </row>
    <row r="71" spans="1:6" s="2" customFormat="1" ht="15.75">
      <c r="A71" s="179">
        <v>11004</v>
      </c>
      <c r="B71" s="64" t="s">
        <v>732</v>
      </c>
      <c r="C71" s="104"/>
      <c r="D71" s="522"/>
      <c r="E71" s="828"/>
      <c r="F71" s="845"/>
    </row>
    <row r="72" spans="1:6" s="98" customFormat="1" ht="15.75">
      <c r="A72" s="12" t="s">
        <v>33</v>
      </c>
      <c r="B72" s="99" t="s">
        <v>34</v>
      </c>
      <c r="C72" s="60">
        <v>200000</v>
      </c>
      <c r="D72" s="518"/>
      <c r="E72" s="833">
        <f aca="true" t="shared" si="1" ref="E72:E77">C72+D72</f>
        <v>200000</v>
      </c>
      <c r="F72" s="833">
        <v>700000</v>
      </c>
    </row>
    <row r="73" spans="1:6" s="98" customFormat="1" ht="15.75">
      <c r="A73" s="12" t="s">
        <v>36</v>
      </c>
      <c r="B73" s="99" t="s">
        <v>37</v>
      </c>
      <c r="C73" s="60">
        <v>500000</v>
      </c>
      <c r="D73" s="518"/>
      <c r="E73" s="833">
        <f t="shared" si="1"/>
        <v>500000</v>
      </c>
      <c r="F73" s="833">
        <v>800000</v>
      </c>
    </row>
    <row r="74" spans="1:6" s="98" customFormat="1" ht="15.75">
      <c r="A74" s="12" t="s">
        <v>38</v>
      </c>
      <c r="B74" s="99" t="s">
        <v>39</v>
      </c>
      <c r="C74" s="60">
        <v>500000</v>
      </c>
      <c r="D74" s="518"/>
      <c r="E74" s="833">
        <f t="shared" si="1"/>
        <v>500000</v>
      </c>
      <c r="F74" s="833">
        <v>500000</v>
      </c>
    </row>
    <row r="75" spans="1:6" s="98" customFormat="1" ht="15.75">
      <c r="A75" s="12" t="s">
        <v>430</v>
      </c>
      <c r="B75" s="99" t="s">
        <v>431</v>
      </c>
      <c r="C75" s="60">
        <v>2100000</v>
      </c>
      <c r="D75" s="518"/>
      <c r="E75" s="833">
        <f t="shared" si="1"/>
        <v>2100000</v>
      </c>
      <c r="F75" s="833">
        <v>1500000</v>
      </c>
    </row>
    <row r="76" spans="1:6" s="98" customFormat="1" ht="15.75">
      <c r="A76" s="12" t="s">
        <v>157</v>
      </c>
      <c r="B76" s="99" t="s">
        <v>158</v>
      </c>
      <c r="C76" s="60">
        <v>1500000</v>
      </c>
      <c r="D76" s="518"/>
      <c r="E76" s="833">
        <f t="shared" si="1"/>
        <v>1500000</v>
      </c>
      <c r="F76" s="833">
        <v>1000000</v>
      </c>
    </row>
    <row r="77" spans="1:6" s="98" customFormat="1" ht="15.75">
      <c r="A77" s="12" t="s">
        <v>161</v>
      </c>
      <c r="B77" s="99" t="s">
        <v>162</v>
      </c>
      <c r="C77" s="60">
        <v>1000000</v>
      </c>
      <c r="D77" s="518"/>
      <c r="E77" s="833">
        <f t="shared" si="1"/>
        <v>1000000</v>
      </c>
      <c r="F77" s="833">
        <v>1000000</v>
      </c>
    </row>
    <row r="78" spans="1:6" s="2" customFormat="1" ht="15.75">
      <c r="A78" s="140"/>
      <c r="B78" s="6" t="s">
        <v>835</v>
      </c>
      <c r="C78" s="61">
        <f>SUM(C72:C77)</f>
        <v>5800000</v>
      </c>
      <c r="D78" s="486">
        <f>SUM(D72:D77)</f>
        <v>0</v>
      </c>
      <c r="E78" s="486">
        <f>SUM(E72:E77)</f>
        <v>5800000</v>
      </c>
      <c r="F78" s="486">
        <f>SUM(F72:F77)</f>
        <v>5500000</v>
      </c>
    </row>
    <row r="79" spans="1:6" ht="15.75">
      <c r="A79" s="140"/>
      <c r="B79" s="140" t="s">
        <v>171</v>
      </c>
      <c r="C79" s="61">
        <f>SUM(C60,C78)</f>
        <v>48240000</v>
      </c>
      <c r="D79" s="486">
        <f>SUM(D60,D78)</f>
        <v>12430000</v>
      </c>
      <c r="E79" s="486">
        <f>SUM(E60,E78)</f>
        <v>60670000</v>
      </c>
      <c r="F79" s="486">
        <f>SUM(F60,F78)</f>
        <v>71180000</v>
      </c>
    </row>
    <row r="80" spans="1:6" ht="15.75">
      <c r="A80" s="140"/>
      <c r="B80" s="140" t="s">
        <v>784</v>
      </c>
      <c r="C80" s="61">
        <f>C79</f>
        <v>48240000</v>
      </c>
      <c r="D80" s="486">
        <f>D79</f>
        <v>12430000</v>
      </c>
      <c r="E80" s="486">
        <f>E79</f>
        <v>60670000</v>
      </c>
      <c r="F80" s="486">
        <f>F79</f>
        <v>71180000</v>
      </c>
    </row>
    <row r="81" spans="1:6" ht="15.75">
      <c r="A81" s="298"/>
      <c r="B81" s="6" t="s">
        <v>787</v>
      </c>
      <c r="C81" s="138" t="e">
        <f>SUM(C69)</f>
        <v>#REF!</v>
      </c>
      <c r="D81" s="495" t="e">
        <f>SUM(D69)</f>
        <v>#REF!</v>
      </c>
      <c r="E81" s="495"/>
      <c r="F81" s="495"/>
    </row>
    <row r="82" spans="1:6" ht="15.75">
      <c r="A82" s="298"/>
      <c r="B82" s="6" t="s">
        <v>790</v>
      </c>
      <c r="C82" s="138" t="e">
        <f>SUM(C80:C81)</f>
        <v>#REF!</v>
      </c>
      <c r="D82" s="495" t="e">
        <f>SUM(D80:D81)</f>
        <v>#REF!</v>
      </c>
      <c r="E82" s="495">
        <f>SUM(E80:E81)</f>
        <v>60670000</v>
      </c>
      <c r="F82" s="495">
        <f>SUM(F80:F81)</f>
        <v>71180000</v>
      </c>
    </row>
  </sheetData>
  <sheetProtection/>
  <mergeCells count="2">
    <mergeCell ref="A1:C1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G161"/>
  <sheetViews>
    <sheetView view="pageBreakPreview" zoomScale="140" zoomScaleSheetLayoutView="140" zoomScalePageLayoutView="0" workbookViewId="0" topLeftCell="B1">
      <pane xSplit="1" ySplit="2" topLeftCell="C79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81" sqref="A81:IV84"/>
    </sheetView>
  </sheetViews>
  <sheetFormatPr defaultColWidth="9.140625" defaultRowHeight="15"/>
  <cols>
    <col min="1" max="1" width="11.421875" style="54" customWidth="1"/>
    <col min="2" max="2" width="69.28125" style="54" customWidth="1"/>
    <col min="3" max="3" width="17.421875" style="54" hidden="1" customWidth="1"/>
    <col min="4" max="4" width="20.28125" style="484" hidden="1" customWidth="1"/>
    <col min="5" max="5" width="17.7109375" style="484" customWidth="1"/>
    <col min="6" max="6" width="17.7109375" style="54" customWidth="1"/>
    <col min="7" max="7" width="11.57421875" style="54" bestFit="1" customWidth="1"/>
    <col min="8" max="16384" width="9.140625" style="54" customWidth="1"/>
  </cols>
  <sheetData>
    <row r="1" spans="1:3" ht="15.75">
      <c r="A1" s="921" t="s">
        <v>475</v>
      </c>
      <c r="B1" s="922"/>
      <c r="C1" s="929"/>
    </row>
    <row r="2" spans="1:6" s="193" customFormat="1" ht="63">
      <c r="A2" s="904" t="s">
        <v>168</v>
      </c>
      <c r="B2" s="923"/>
      <c r="C2" s="192" t="s">
        <v>996</v>
      </c>
      <c r="D2" s="490" t="s">
        <v>995</v>
      </c>
      <c r="E2" s="561" t="s">
        <v>997</v>
      </c>
      <c r="F2" s="783" t="s">
        <v>1068</v>
      </c>
    </row>
    <row r="3" spans="1:5" s="193" customFormat="1" ht="15.75">
      <c r="A3" s="200">
        <v>11201</v>
      </c>
      <c r="B3" s="200" t="s">
        <v>680</v>
      </c>
      <c r="C3" s="436"/>
      <c r="D3" s="47"/>
      <c r="E3" s="47"/>
    </row>
    <row r="4" spans="1:5" s="193" customFormat="1" ht="15.75">
      <c r="A4" s="200">
        <v>2100000</v>
      </c>
      <c r="B4" s="200" t="s">
        <v>678</v>
      </c>
      <c r="C4" s="436"/>
      <c r="D4" s="47"/>
      <c r="E4" s="47"/>
    </row>
    <row r="5" spans="1:6" ht="15.75">
      <c r="A5" s="127"/>
      <c r="B5" s="101" t="s">
        <v>2</v>
      </c>
      <c r="C5" s="440"/>
      <c r="D5" s="485"/>
      <c r="E5" s="485"/>
      <c r="F5" s="505"/>
    </row>
    <row r="6" spans="1:6" ht="15.75">
      <c r="A6" s="129" t="s">
        <v>0</v>
      </c>
      <c r="B6" s="5" t="s">
        <v>1</v>
      </c>
      <c r="C6" s="102">
        <v>21442997</v>
      </c>
      <c r="D6" s="485"/>
      <c r="E6" s="485">
        <f>C6+D6</f>
        <v>21442997</v>
      </c>
      <c r="F6" s="829">
        <v>22515146</v>
      </c>
    </row>
    <row r="7" spans="1:6" ht="15.75">
      <c r="A7" s="130" t="s">
        <v>170</v>
      </c>
      <c r="B7" s="6"/>
      <c r="C7" s="304">
        <f>SUM(C6)</f>
        <v>21442997</v>
      </c>
      <c r="D7" s="304">
        <f>SUM(D6)</f>
        <v>0</v>
      </c>
      <c r="E7" s="304">
        <f>SUM(E6)</f>
        <v>21442997</v>
      </c>
      <c r="F7" s="61">
        <f>SUM(F6)</f>
        <v>22515146</v>
      </c>
    </row>
    <row r="8" spans="1:6" ht="15.75">
      <c r="A8" s="129"/>
      <c r="B8" s="101" t="s">
        <v>5</v>
      </c>
      <c r="C8" s="169"/>
      <c r="D8" s="485"/>
      <c r="E8" s="485"/>
      <c r="F8" s="505"/>
    </row>
    <row r="9" spans="1:6" ht="15.75">
      <c r="A9" s="129" t="s">
        <v>3</v>
      </c>
      <c r="B9" s="99" t="s">
        <v>4</v>
      </c>
      <c r="C9" s="169">
        <v>7585761</v>
      </c>
      <c r="D9" s="485"/>
      <c r="E9" s="485">
        <f>C9+D9</f>
        <v>7585761</v>
      </c>
      <c r="F9" s="829">
        <v>7965049</v>
      </c>
    </row>
    <row r="10" spans="1:6" ht="15.75">
      <c r="A10" s="129" t="s">
        <v>10</v>
      </c>
      <c r="B10" s="99" t="s">
        <v>11</v>
      </c>
      <c r="C10" s="169">
        <v>3627069</v>
      </c>
      <c r="D10" s="485"/>
      <c r="E10" s="485">
        <f>C10+D10</f>
        <v>3627069</v>
      </c>
      <c r="F10" s="829">
        <v>3808422</v>
      </c>
    </row>
    <row r="11" spans="1:6" ht="15.75">
      <c r="A11" s="129" t="s">
        <v>12</v>
      </c>
      <c r="B11" s="99" t="s">
        <v>13</v>
      </c>
      <c r="C11" s="169">
        <v>314496</v>
      </c>
      <c r="D11" s="485"/>
      <c r="E11" s="485">
        <f>C11+D11</f>
        <v>314496</v>
      </c>
      <c r="F11" s="829">
        <v>330220</v>
      </c>
    </row>
    <row r="12" spans="1:6" ht="15.75">
      <c r="A12" s="130" t="s">
        <v>170</v>
      </c>
      <c r="B12" s="6"/>
      <c r="C12" s="304">
        <f>SUM(C9:C11)</f>
        <v>11527326</v>
      </c>
      <c r="D12" s="304">
        <f>SUM(D9:D11)</f>
        <v>0</v>
      </c>
      <c r="E12" s="304">
        <f>SUM(E9:E11)</f>
        <v>11527326</v>
      </c>
      <c r="F12" s="61">
        <f>SUM(F9:F11)</f>
        <v>12103691</v>
      </c>
    </row>
    <row r="13" spans="1:6" ht="15.75">
      <c r="A13" s="130" t="s">
        <v>173</v>
      </c>
      <c r="B13" s="6"/>
      <c r="C13" s="304">
        <f>C7+C12</f>
        <v>32970323</v>
      </c>
      <c r="D13" s="304">
        <f>D7+D12</f>
        <v>0</v>
      </c>
      <c r="E13" s="304">
        <f>E7+E12</f>
        <v>32970323</v>
      </c>
      <c r="F13" s="61">
        <f>F7+F12</f>
        <v>34618837</v>
      </c>
    </row>
    <row r="14" spans="1:6" s="62" customFormat="1" ht="15.75">
      <c r="A14" s="202">
        <v>2200000</v>
      </c>
      <c r="B14" s="64" t="s">
        <v>679</v>
      </c>
      <c r="C14" s="305"/>
      <c r="D14" s="487"/>
      <c r="E14" s="487"/>
      <c r="F14" s="56"/>
    </row>
    <row r="15" spans="1:6" ht="15.75">
      <c r="A15" s="129"/>
      <c r="B15" s="101" t="s">
        <v>21</v>
      </c>
      <c r="C15" s="169"/>
      <c r="D15" s="485"/>
      <c r="E15" s="485"/>
      <c r="F15" s="505"/>
    </row>
    <row r="16" spans="1:6" ht="15.75">
      <c r="A16" s="129" t="s">
        <v>19</v>
      </c>
      <c r="B16" s="99" t="s">
        <v>20</v>
      </c>
      <c r="C16" s="169">
        <v>160000</v>
      </c>
      <c r="D16" s="485"/>
      <c r="E16" s="485">
        <f>C16+D16</f>
        <v>160000</v>
      </c>
      <c r="F16" s="829">
        <v>160000</v>
      </c>
    </row>
    <row r="17" spans="1:6" ht="15.75">
      <c r="A17" s="129" t="s">
        <v>22</v>
      </c>
      <c r="B17" s="99" t="s">
        <v>23</v>
      </c>
      <c r="C17" s="169">
        <v>80000</v>
      </c>
      <c r="D17" s="485"/>
      <c r="E17" s="485">
        <f>C17+D17</f>
        <v>80000</v>
      </c>
      <c r="F17" s="829">
        <v>80000</v>
      </c>
    </row>
    <row r="18" spans="1:6" ht="15.75">
      <c r="A18" s="130" t="s">
        <v>170</v>
      </c>
      <c r="B18" s="6"/>
      <c r="C18" s="304">
        <f>SUM(C16:C17)</f>
        <v>240000</v>
      </c>
      <c r="D18" s="304">
        <f>SUM(D16:D17)</f>
        <v>0</v>
      </c>
      <c r="E18" s="304">
        <f>SUM(E16:E17)</f>
        <v>240000</v>
      </c>
      <c r="F18" s="61">
        <f>SUM(F16:F17)</f>
        <v>240000</v>
      </c>
    </row>
    <row r="19" spans="1:6" ht="15.75">
      <c r="A19" s="129"/>
      <c r="B19" s="101" t="s">
        <v>28</v>
      </c>
      <c r="C19" s="169"/>
      <c r="D19" s="485"/>
      <c r="E19" s="485"/>
      <c r="F19" s="505"/>
    </row>
    <row r="20" spans="1:6" ht="15.75">
      <c r="A20" s="129" t="s">
        <v>26</v>
      </c>
      <c r="B20" s="99" t="s">
        <v>27</v>
      </c>
      <c r="C20" s="169">
        <v>200000</v>
      </c>
      <c r="D20" s="485"/>
      <c r="E20" s="485">
        <f>C20+D20</f>
        <v>200000</v>
      </c>
      <c r="F20" s="829">
        <v>200000</v>
      </c>
    </row>
    <row r="21" spans="1:6" ht="15.75">
      <c r="A21" s="129" t="s">
        <v>29</v>
      </c>
      <c r="B21" s="99" t="s">
        <v>30</v>
      </c>
      <c r="C21" s="169">
        <v>100000</v>
      </c>
      <c r="D21" s="485"/>
      <c r="E21" s="485">
        <f>C21+D21</f>
        <v>100000</v>
      </c>
      <c r="F21" s="829">
        <v>100000</v>
      </c>
    </row>
    <row r="22" spans="1:6" ht="15.75">
      <c r="A22" s="129" t="s">
        <v>31</v>
      </c>
      <c r="B22" s="99" t="s">
        <v>32</v>
      </c>
      <c r="C22" s="169">
        <v>20000</v>
      </c>
      <c r="D22" s="485"/>
      <c r="E22" s="485">
        <f>C22+D22</f>
        <v>20000</v>
      </c>
      <c r="F22" s="829">
        <v>20000</v>
      </c>
    </row>
    <row r="23" spans="1:6" ht="15.75">
      <c r="A23" s="130" t="s">
        <v>170</v>
      </c>
      <c r="B23" s="6"/>
      <c r="C23" s="304">
        <f>SUM(C20:C22)</f>
        <v>320000</v>
      </c>
      <c r="D23" s="304">
        <f>SUM(D20:D22)</f>
        <v>0</v>
      </c>
      <c r="E23" s="304">
        <f>SUM(E20:E22)</f>
        <v>320000</v>
      </c>
      <c r="F23" s="304">
        <f>SUM(F20:F22)</f>
        <v>320000</v>
      </c>
    </row>
    <row r="24" spans="1:6" ht="15.75">
      <c r="A24" s="129"/>
      <c r="B24" s="101" t="s">
        <v>35</v>
      </c>
      <c r="C24" s="169"/>
      <c r="D24" s="485"/>
      <c r="E24" s="485"/>
      <c r="F24" s="505"/>
    </row>
    <row r="25" spans="1:6" ht="15.75">
      <c r="A25" s="129" t="s">
        <v>33</v>
      </c>
      <c r="B25" s="99" t="s">
        <v>34</v>
      </c>
      <c r="C25" s="169">
        <v>550000</v>
      </c>
      <c r="D25" s="485"/>
      <c r="E25" s="485">
        <f>C25+D25</f>
        <v>550000</v>
      </c>
      <c r="F25" s="830">
        <v>400000</v>
      </c>
    </row>
    <row r="26" spans="1:6" ht="15.75">
      <c r="A26" s="129" t="s">
        <v>36</v>
      </c>
      <c r="B26" s="99" t="s">
        <v>37</v>
      </c>
      <c r="C26" s="169">
        <v>1400000</v>
      </c>
      <c r="D26" s="485"/>
      <c r="E26" s="485">
        <f>C26+D26</f>
        <v>1400000</v>
      </c>
      <c r="F26" s="830">
        <v>1000000</v>
      </c>
    </row>
    <row r="27" spans="1:6" ht="15.75">
      <c r="A27" s="129" t="s">
        <v>38</v>
      </c>
      <c r="B27" s="99" t="s">
        <v>39</v>
      </c>
      <c r="C27" s="169">
        <v>2000000</v>
      </c>
      <c r="D27" s="485"/>
      <c r="E27" s="485">
        <f>C27+D27</f>
        <v>2000000</v>
      </c>
      <c r="F27" s="830">
        <v>1500000</v>
      </c>
    </row>
    <row r="28" spans="1:6" ht="15.75">
      <c r="A28" s="129" t="s">
        <v>40</v>
      </c>
      <c r="B28" s="99" t="s">
        <v>41</v>
      </c>
      <c r="C28" s="169">
        <v>250000</v>
      </c>
      <c r="D28" s="485"/>
      <c r="E28" s="485">
        <f>C28+D28</f>
        <v>250000</v>
      </c>
      <c r="F28" s="830"/>
    </row>
    <row r="29" spans="1:6" ht="15.75">
      <c r="A29" s="129" t="s">
        <v>414</v>
      </c>
      <c r="B29" s="99" t="s">
        <v>415</v>
      </c>
      <c r="C29" s="169">
        <v>500000</v>
      </c>
      <c r="D29" s="485"/>
      <c r="E29" s="485">
        <f>C29+D29</f>
        <v>500000</v>
      </c>
      <c r="F29" s="830">
        <v>500000</v>
      </c>
    </row>
    <row r="30" spans="1:6" ht="15.75">
      <c r="A30" s="130" t="s">
        <v>170</v>
      </c>
      <c r="B30" s="6"/>
      <c r="C30" s="304">
        <f>SUM(C25:C29)</f>
        <v>4700000</v>
      </c>
      <c r="D30" s="304">
        <f>SUM(D25:D29)</f>
        <v>0</v>
      </c>
      <c r="E30" s="304">
        <f>SUM(E25:E29)</f>
        <v>4700000</v>
      </c>
      <c r="F30" s="61">
        <f>SUM(F25:F29)</f>
        <v>3400000</v>
      </c>
    </row>
    <row r="31" spans="1:6" ht="15.75">
      <c r="A31" s="129"/>
      <c r="B31" s="101" t="s">
        <v>44</v>
      </c>
      <c r="C31" s="169"/>
      <c r="D31" s="485"/>
      <c r="E31" s="485"/>
      <c r="F31" s="505"/>
    </row>
    <row r="32" spans="1:6" ht="15.75">
      <c r="A32" s="129" t="s">
        <v>42</v>
      </c>
      <c r="B32" s="99" t="s">
        <v>43</v>
      </c>
      <c r="C32" s="169">
        <v>800000</v>
      </c>
      <c r="D32" s="485"/>
      <c r="E32" s="485">
        <f>C32+D32</f>
        <v>800000</v>
      </c>
      <c r="F32" s="829">
        <v>300000</v>
      </c>
    </row>
    <row r="33" spans="1:6" ht="15.75">
      <c r="A33" s="129" t="s">
        <v>45</v>
      </c>
      <c r="B33" s="99" t="s">
        <v>46</v>
      </c>
      <c r="C33" s="169">
        <v>1400000</v>
      </c>
      <c r="D33" s="485"/>
      <c r="E33" s="485">
        <f>C33+D33</f>
        <v>1400000</v>
      </c>
      <c r="F33" s="829"/>
    </row>
    <row r="34" spans="1:6" ht="15.75">
      <c r="A34" s="129" t="s">
        <v>47</v>
      </c>
      <c r="B34" s="99" t="s">
        <v>39</v>
      </c>
      <c r="C34" s="169">
        <v>1500000</v>
      </c>
      <c r="D34" s="485">
        <v>2500000</v>
      </c>
      <c r="E34" s="485">
        <f>C34+D34</f>
        <v>4000000</v>
      </c>
      <c r="F34" s="829">
        <v>1000000</v>
      </c>
    </row>
    <row r="35" spans="1:6" ht="15.75">
      <c r="A35" s="129" t="s">
        <v>48</v>
      </c>
      <c r="B35" s="99" t="s">
        <v>49</v>
      </c>
      <c r="C35" s="169">
        <v>300000</v>
      </c>
      <c r="D35" s="485"/>
      <c r="E35" s="485">
        <f>C35+D35</f>
        <v>300000</v>
      </c>
      <c r="F35" s="829"/>
    </row>
    <row r="36" spans="1:6" ht="15.75">
      <c r="A36" s="130" t="s">
        <v>170</v>
      </c>
      <c r="B36" s="6"/>
      <c r="C36" s="304">
        <f>SUM(C32:C35)</f>
        <v>4000000</v>
      </c>
      <c r="D36" s="304">
        <f>SUM(D32:D35)</f>
        <v>2500000</v>
      </c>
      <c r="E36" s="304">
        <f>SUM(E32:E35)</f>
        <v>6500000</v>
      </c>
      <c r="F36" s="61">
        <f>SUM(F32:F35)</f>
        <v>1300000</v>
      </c>
    </row>
    <row r="37" spans="1:6" ht="15.75">
      <c r="A37" s="129"/>
      <c r="B37" s="101" t="s">
        <v>50</v>
      </c>
      <c r="C37" s="169"/>
      <c r="D37" s="485"/>
      <c r="E37" s="485"/>
      <c r="F37" s="505"/>
    </row>
    <row r="38" spans="1:6" ht="15.75">
      <c r="A38" s="129" t="s">
        <v>51</v>
      </c>
      <c r="B38" s="99" t="s">
        <v>52</v>
      </c>
      <c r="C38" s="169">
        <v>400000</v>
      </c>
      <c r="D38" s="485">
        <v>1100000</v>
      </c>
      <c r="E38" s="485">
        <f>C38+D38</f>
        <v>1500000</v>
      </c>
      <c r="F38" s="830">
        <v>500000</v>
      </c>
    </row>
    <row r="39" spans="1:6" ht="15.75">
      <c r="A39" s="129" t="s">
        <v>53</v>
      </c>
      <c r="B39" s="99" t="s">
        <v>54</v>
      </c>
      <c r="C39" s="169">
        <v>40000</v>
      </c>
      <c r="D39" s="485"/>
      <c r="E39" s="485">
        <f>C39+D39</f>
        <v>40000</v>
      </c>
      <c r="F39" s="829">
        <v>40000</v>
      </c>
    </row>
    <row r="40" spans="1:6" ht="15.75">
      <c r="A40" s="129" t="s">
        <v>55</v>
      </c>
      <c r="B40" s="99" t="s">
        <v>56</v>
      </c>
      <c r="C40" s="169">
        <v>800000</v>
      </c>
      <c r="D40" s="485"/>
      <c r="E40" s="485">
        <f>C40+D40</f>
        <v>800000</v>
      </c>
      <c r="F40" s="830">
        <v>300000</v>
      </c>
    </row>
    <row r="41" spans="1:6" ht="15.75">
      <c r="A41" s="129" t="s">
        <v>57</v>
      </c>
      <c r="B41" s="99" t="s">
        <v>58</v>
      </c>
      <c r="C41" s="169">
        <v>1800000</v>
      </c>
      <c r="D41" s="485"/>
      <c r="E41" s="485">
        <f>C41+D41</f>
        <v>1800000</v>
      </c>
      <c r="F41" s="829">
        <v>800000</v>
      </c>
    </row>
    <row r="42" spans="1:6" ht="15.75">
      <c r="A42" s="129" t="s">
        <v>438</v>
      </c>
      <c r="B42" s="99" t="s">
        <v>439</v>
      </c>
      <c r="C42" s="169">
        <v>1295000</v>
      </c>
      <c r="D42" s="485"/>
      <c r="E42" s="485">
        <f>C42+D42</f>
        <v>1295000</v>
      </c>
      <c r="F42" s="830">
        <v>1000000</v>
      </c>
    </row>
    <row r="43" spans="1:6" ht="15.75">
      <c r="A43" s="130" t="s">
        <v>170</v>
      </c>
      <c r="B43" s="6"/>
      <c r="C43" s="304">
        <f>SUM(C38:C42)</f>
        <v>4335000</v>
      </c>
      <c r="D43" s="304">
        <f>SUM(D38:D42)</f>
        <v>1100000</v>
      </c>
      <c r="E43" s="304">
        <f>SUM(E38:E42)</f>
        <v>5435000</v>
      </c>
      <c r="F43" s="61">
        <f>SUM(F38:F42)</f>
        <v>2640000</v>
      </c>
    </row>
    <row r="44" spans="1:6" ht="15.75">
      <c r="A44" s="129"/>
      <c r="B44" s="101" t="s">
        <v>59</v>
      </c>
      <c r="C44" s="169"/>
      <c r="D44" s="485"/>
      <c r="E44" s="485"/>
      <c r="F44" s="505"/>
    </row>
    <row r="45" spans="1:6" ht="15.75">
      <c r="A45" s="129" t="s">
        <v>64</v>
      </c>
      <c r="B45" s="99" t="s">
        <v>65</v>
      </c>
      <c r="C45" s="169">
        <v>250000</v>
      </c>
      <c r="D45" s="485"/>
      <c r="E45" s="485">
        <f>C45+D45</f>
        <v>250000</v>
      </c>
      <c r="F45" s="830">
        <v>200000</v>
      </c>
    </row>
    <row r="46" spans="1:6" ht="15.75">
      <c r="A46" s="130" t="s">
        <v>170</v>
      </c>
      <c r="B46" s="6"/>
      <c r="C46" s="304">
        <f>SUM(C45)</f>
        <v>250000</v>
      </c>
      <c r="D46" s="527">
        <f>SUM(D45)</f>
        <v>0</v>
      </c>
      <c r="E46" s="527">
        <f>SUM(E45)</f>
        <v>250000</v>
      </c>
      <c r="F46" s="486">
        <f>SUM(F45)</f>
        <v>200000</v>
      </c>
    </row>
    <row r="47" spans="1:6" ht="15.75">
      <c r="A47" s="129"/>
      <c r="B47" s="101" t="s">
        <v>68</v>
      </c>
      <c r="C47" s="169"/>
      <c r="D47" s="485"/>
      <c r="E47" s="485"/>
      <c r="F47" s="505"/>
    </row>
    <row r="48" spans="1:6" ht="15.75">
      <c r="A48" s="129" t="s">
        <v>66</v>
      </c>
      <c r="B48" s="99" t="s">
        <v>67</v>
      </c>
      <c r="C48" s="169">
        <v>100000</v>
      </c>
      <c r="D48" s="485"/>
      <c r="E48" s="485">
        <f aca="true" t="shared" si="0" ref="E48:E54">C48+D48</f>
        <v>100000</v>
      </c>
      <c r="F48" s="829">
        <v>100000</v>
      </c>
    </row>
    <row r="49" spans="1:6" ht="15.75">
      <c r="A49" s="129" t="s">
        <v>69</v>
      </c>
      <c r="B49" s="99" t="s">
        <v>70</v>
      </c>
      <c r="C49" s="169">
        <v>500000</v>
      </c>
      <c r="D49" s="485"/>
      <c r="E49" s="485">
        <f t="shared" si="0"/>
        <v>500000</v>
      </c>
      <c r="F49" s="830">
        <v>200000</v>
      </c>
    </row>
    <row r="50" spans="1:6" ht="15.75">
      <c r="A50" s="129" t="s">
        <v>71</v>
      </c>
      <c r="B50" s="99" t="s">
        <v>72</v>
      </c>
      <c r="C50" s="169">
        <v>500000</v>
      </c>
      <c r="D50" s="485"/>
      <c r="E50" s="485">
        <f t="shared" si="0"/>
        <v>500000</v>
      </c>
      <c r="F50" s="830">
        <v>20000</v>
      </c>
    </row>
    <row r="51" spans="1:6" ht="15.75">
      <c r="A51" s="129" t="s">
        <v>73</v>
      </c>
      <c r="B51" s="99" t="s">
        <v>74</v>
      </c>
      <c r="C51" s="169">
        <v>500000</v>
      </c>
      <c r="D51" s="485"/>
      <c r="E51" s="485">
        <f t="shared" si="0"/>
        <v>500000</v>
      </c>
      <c r="F51" s="830">
        <v>200000</v>
      </c>
    </row>
    <row r="52" spans="1:6" ht="15.75">
      <c r="A52" s="129" t="s">
        <v>75</v>
      </c>
      <c r="B52" s="99" t="s">
        <v>76</v>
      </c>
      <c r="C52" s="169">
        <v>1000000</v>
      </c>
      <c r="D52" s="485">
        <v>-500000</v>
      </c>
      <c r="E52" s="485">
        <f t="shared" si="0"/>
        <v>500000</v>
      </c>
      <c r="F52" s="830">
        <v>500000</v>
      </c>
    </row>
    <row r="53" spans="1:6" ht="15.75">
      <c r="A53" s="129" t="s">
        <v>77</v>
      </c>
      <c r="B53" s="99" t="s">
        <v>78</v>
      </c>
      <c r="C53" s="169">
        <v>500000</v>
      </c>
      <c r="D53" s="485">
        <v>-250000</v>
      </c>
      <c r="E53" s="485">
        <f t="shared" si="0"/>
        <v>250000</v>
      </c>
      <c r="F53" s="830">
        <v>500000</v>
      </c>
    </row>
    <row r="54" spans="1:6" ht="15.75">
      <c r="A54" s="129" t="s">
        <v>80</v>
      </c>
      <c r="B54" s="99" t="s">
        <v>81</v>
      </c>
      <c r="C54" s="169">
        <v>500000</v>
      </c>
      <c r="D54" s="485"/>
      <c r="E54" s="485">
        <f t="shared" si="0"/>
        <v>500000</v>
      </c>
      <c r="F54" s="830">
        <v>600000</v>
      </c>
    </row>
    <row r="55" spans="1:6" ht="15.75">
      <c r="A55" s="130" t="s">
        <v>170</v>
      </c>
      <c r="B55" s="6"/>
      <c r="C55" s="304">
        <f>SUM(C48:C54)</f>
        <v>3600000</v>
      </c>
      <c r="D55" s="304">
        <f>SUM(D48:D54)</f>
        <v>-750000</v>
      </c>
      <c r="E55" s="304">
        <f>SUM(E48:E54)</f>
        <v>2850000</v>
      </c>
      <c r="F55" s="61">
        <f>SUM(F48:F54)</f>
        <v>2120000</v>
      </c>
    </row>
    <row r="56" spans="1:6" ht="15.75">
      <c r="A56" s="129"/>
      <c r="B56" s="101" t="s">
        <v>84</v>
      </c>
      <c r="C56" s="169"/>
      <c r="D56" s="485"/>
      <c r="E56" s="485"/>
      <c r="F56" s="505"/>
    </row>
    <row r="57" spans="1:6" ht="15.75">
      <c r="A57" s="129" t="s">
        <v>82</v>
      </c>
      <c r="B57" s="99" t="s">
        <v>83</v>
      </c>
      <c r="C57" s="169">
        <v>700000</v>
      </c>
      <c r="D57" s="485"/>
      <c r="E57" s="485">
        <f>C57+D57</f>
        <v>700000</v>
      </c>
      <c r="F57" s="830">
        <v>700000</v>
      </c>
    </row>
    <row r="58" spans="1:6" ht="15.75">
      <c r="A58" s="129" t="s">
        <v>85</v>
      </c>
      <c r="B58" s="99" t="s">
        <v>86</v>
      </c>
      <c r="C58" s="169">
        <v>1600000</v>
      </c>
      <c r="D58" s="485"/>
      <c r="E58" s="485">
        <f>C58+D58</f>
        <v>1600000</v>
      </c>
      <c r="F58" s="830">
        <v>1000000</v>
      </c>
    </row>
    <row r="59" spans="1:6" ht="15.75">
      <c r="A59" s="130" t="s">
        <v>170</v>
      </c>
      <c r="B59" s="6"/>
      <c r="C59" s="304">
        <f>SUM(C57:C58)</f>
        <v>2300000</v>
      </c>
      <c r="D59" s="527">
        <f>SUM(D57:D58)</f>
        <v>0</v>
      </c>
      <c r="E59" s="527">
        <f>SUM(E57:E58)</f>
        <v>2300000</v>
      </c>
      <c r="F59" s="486">
        <f>SUM(F57:F58)</f>
        <v>1700000</v>
      </c>
    </row>
    <row r="60" spans="1:6" s="62" customFormat="1" ht="15.75">
      <c r="A60" s="129"/>
      <c r="B60" s="101" t="s">
        <v>131</v>
      </c>
      <c r="C60" s="169"/>
      <c r="D60" s="487"/>
      <c r="E60" s="487"/>
      <c r="F60" s="56"/>
    </row>
    <row r="61" spans="1:6" s="62" customFormat="1" ht="15.75">
      <c r="A61" s="129" t="s">
        <v>129</v>
      </c>
      <c r="B61" s="99" t="s">
        <v>130</v>
      </c>
      <c r="C61" s="169">
        <v>500000</v>
      </c>
      <c r="D61" s="487"/>
      <c r="E61" s="485">
        <f>C61+D61</f>
        <v>500000</v>
      </c>
      <c r="F61" s="829">
        <v>500000</v>
      </c>
    </row>
    <row r="62" spans="1:6" s="62" customFormat="1" ht="15.75">
      <c r="A62" s="130" t="s">
        <v>170</v>
      </c>
      <c r="B62" s="6"/>
      <c r="C62" s="304">
        <f>SUM(C61)</f>
        <v>500000</v>
      </c>
      <c r="D62" s="527">
        <f>SUM(D61)</f>
        <v>0</v>
      </c>
      <c r="E62" s="527">
        <f>SUM(E61)</f>
        <v>500000</v>
      </c>
      <c r="F62" s="486">
        <f>SUM(F61)</f>
        <v>500000</v>
      </c>
    </row>
    <row r="63" spans="1:6" s="62" customFormat="1" ht="15.75">
      <c r="A63" s="129"/>
      <c r="B63" s="101" t="s">
        <v>136</v>
      </c>
      <c r="C63" s="169"/>
      <c r="D63" s="487"/>
      <c r="E63" s="487"/>
      <c r="F63" s="56"/>
    </row>
    <row r="64" spans="1:6" s="62" customFormat="1" ht="15.75">
      <c r="A64" s="129" t="s">
        <v>134</v>
      </c>
      <c r="B64" s="99" t="s">
        <v>135</v>
      </c>
      <c r="C64" s="169">
        <v>14000</v>
      </c>
      <c r="D64" s="487"/>
      <c r="E64" s="487">
        <f aca="true" t="shared" si="1" ref="E64:E69">C64+D64</f>
        <v>14000</v>
      </c>
      <c r="F64" s="830">
        <v>10000</v>
      </c>
    </row>
    <row r="65" spans="1:6" s="62" customFormat="1" ht="15.75">
      <c r="A65" s="129">
        <v>3111009</v>
      </c>
      <c r="B65" s="56" t="s">
        <v>202</v>
      </c>
      <c r="C65" s="306">
        <v>450000</v>
      </c>
      <c r="D65" s="487">
        <v>-89640</v>
      </c>
      <c r="E65" s="487">
        <f t="shared" si="1"/>
        <v>360360</v>
      </c>
      <c r="F65" s="830">
        <v>500000</v>
      </c>
    </row>
    <row r="66" spans="1:6" s="62" customFormat="1" ht="15.75">
      <c r="A66" s="129">
        <v>3111001</v>
      </c>
      <c r="B66" s="56" t="s">
        <v>401</v>
      </c>
      <c r="C66" s="306">
        <v>300000</v>
      </c>
      <c r="D66" s="487">
        <f>-300000+89640</f>
        <v>-210360</v>
      </c>
      <c r="E66" s="487">
        <f t="shared" si="1"/>
        <v>89640</v>
      </c>
      <c r="F66" s="830"/>
    </row>
    <row r="67" spans="1:6" s="62" customFormat="1" ht="15.75">
      <c r="A67" s="129">
        <v>3111002</v>
      </c>
      <c r="B67" s="99" t="s">
        <v>443</v>
      </c>
      <c r="C67" s="169">
        <v>300000</v>
      </c>
      <c r="D67" s="487">
        <v>3000000</v>
      </c>
      <c r="E67" s="487">
        <f t="shared" si="1"/>
        <v>3300000</v>
      </c>
      <c r="F67" s="830"/>
    </row>
    <row r="68" spans="1:6" s="62" customFormat="1" ht="15.75">
      <c r="A68" s="129">
        <v>2211308</v>
      </c>
      <c r="B68" s="99" t="s">
        <v>421</v>
      </c>
      <c r="C68" s="169">
        <v>24000</v>
      </c>
      <c r="D68" s="487"/>
      <c r="E68" s="487">
        <f t="shared" si="1"/>
        <v>24000</v>
      </c>
      <c r="F68" s="830">
        <v>30000</v>
      </c>
    </row>
    <row r="69" spans="1:6" s="62" customFormat="1" ht="15.75">
      <c r="A69" s="129" t="s">
        <v>143</v>
      </c>
      <c r="B69" s="99" t="s">
        <v>144</v>
      </c>
      <c r="C69" s="169">
        <v>20000000</v>
      </c>
      <c r="D69" s="487"/>
      <c r="E69" s="487">
        <f t="shared" si="1"/>
        <v>20000000</v>
      </c>
      <c r="F69" s="487">
        <v>3000000</v>
      </c>
    </row>
    <row r="70" spans="1:6" s="62" customFormat="1" ht="15.75">
      <c r="A70" s="129"/>
      <c r="B70" s="505" t="s">
        <v>1112</v>
      </c>
      <c r="C70" s="169"/>
      <c r="D70" s="831"/>
      <c r="E70" s="831"/>
      <c r="F70" s="487">
        <v>5000000</v>
      </c>
    </row>
    <row r="71" spans="1:6" s="62" customFormat="1" ht="15.75">
      <c r="A71" s="130" t="s">
        <v>170</v>
      </c>
      <c r="B71" s="6"/>
      <c r="C71" s="304">
        <f>SUM(C64:C69)</f>
        <v>21088000</v>
      </c>
      <c r="D71" s="304">
        <f>SUM(D64:D69)</f>
        <v>2700000</v>
      </c>
      <c r="E71" s="304">
        <f>SUM(E64:E69)</f>
        <v>23788000</v>
      </c>
      <c r="F71" s="61">
        <f>SUM(F64:F70)</f>
        <v>8540000</v>
      </c>
    </row>
    <row r="72" spans="1:6" s="62" customFormat="1" ht="15.75">
      <c r="A72" s="129"/>
      <c r="B72" s="101" t="s">
        <v>151</v>
      </c>
      <c r="C72" s="169"/>
      <c r="D72" s="487"/>
      <c r="E72" s="487"/>
      <c r="F72" s="56"/>
    </row>
    <row r="73" spans="1:6" s="62" customFormat="1" ht="15.75">
      <c r="A73" s="129" t="s">
        <v>149</v>
      </c>
      <c r="B73" s="99" t="s">
        <v>150</v>
      </c>
      <c r="C73" s="169">
        <v>500000</v>
      </c>
      <c r="D73" s="487"/>
      <c r="E73" s="487">
        <f>C73+D73</f>
        <v>500000</v>
      </c>
      <c r="F73" s="830">
        <v>500000</v>
      </c>
    </row>
    <row r="74" spans="1:6" s="62" customFormat="1" ht="15.75">
      <c r="A74" s="130" t="s">
        <v>170</v>
      </c>
      <c r="B74" s="6"/>
      <c r="C74" s="304">
        <f>SUM(C73)</f>
        <v>500000</v>
      </c>
      <c r="D74" s="527">
        <f>SUM(D73)</f>
        <v>0</v>
      </c>
      <c r="E74" s="527">
        <f>SUM(E73)</f>
        <v>500000</v>
      </c>
      <c r="F74" s="486">
        <f>SUM(F73)</f>
        <v>500000</v>
      </c>
    </row>
    <row r="75" spans="1:6" s="62" customFormat="1" ht="15.75">
      <c r="A75" s="129"/>
      <c r="B75" s="101" t="s">
        <v>154</v>
      </c>
      <c r="C75" s="169"/>
      <c r="D75" s="487"/>
      <c r="E75" s="487"/>
      <c r="F75" s="56"/>
    </row>
    <row r="76" spans="1:6" s="62" customFormat="1" ht="15.75">
      <c r="A76" s="129" t="s">
        <v>152</v>
      </c>
      <c r="B76" s="99" t="s">
        <v>153</v>
      </c>
      <c r="C76" s="169">
        <v>100000</v>
      </c>
      <c r="D76" s="487"/>
      <c r="E76" s="487">
        <f>C76+D76</f>
        <v>100000</v>
      </c>
      <c r="F76" s="829">
        <v>100000</v>
      </c>
    </row>
    <row r="77" spans="1:6" s="62" customFormat="1" ht="15.75">
      <c r="A77" s="129" t="s">
        <v>157</v>
      </c>
      <c r="B77" s="99" t="s">
        <v>158</v>
      </c>
      <c r="C77" s="169">
        <v>500000</v>
      </c>
      <c r="D77" s="487"/>
      <c r="E77" s="487">
        <f>C77+D77</f>
        <v>500000</v>
      </c>
      <c r="F77" s="830">
        <v>100000</v>
      </c>
    </row>
    <row r="78" spans="1:6" s="62" customFormat="1" ht="15.75">
      <c r="A78" s="130" t="s">
        <v>170</v>
      </c>
      <c r="B78" s="130"/>
      <c r="C78" s="304">
        <f>SUM(C76:C77)</f>
        <v>600000</v>
      </c>
      <c r="D78" s="304">
        <f>SUM(D76:D77)</f>
        <v>0</v>
      </c>
      <c r="E78" s="304">
        <f>SUM(E76:E77)</f>
        <v>600000</v>
      </c>
      <c r="F78" s="61">
        <f>SUM(F76:F77)</f>
        <v>200000</v>
      </c>
    </row>
    <row r="79" spans="1:7" s="62" customFormat="1" ht="15.75">
      <c r="A79" s="130"/>
      <c r="B79" s="130" t="s">
        <v>768</v>
      </c>
      <c r="C79" s="304">
        <f>SUM(C78,C74,C71,C62,C59,C55,C46,C43,C36,C30,C23,C18)</f>
        <v>42433000</v>
      </c>
      <c r="D79" s="304">
        <f>SUM(D78,D74,D71,D62,D59,D55,D46,D43,D36,D30,D23,D18)</f>
        <v>5550000</v>
      </c>
      <c r="E79" s="304">
        <f>SUM(E78,E74,E71,E62,E59,E55,E46,E43,E36,E30,E23,E18)</f>
        <v>47983000</v>
      </c>
      <c r="F79" s="61">
        <f>SUM(F78,F74,F71,F62,F59,F55,F46,F43,F36,F30,F23,F18)</f>
        <v>21660000</v>
      </c>
      <c r="G79" s="570"/>
    </row>
    <row r="80" spans="1:6" s="62" customFormat="1" ht="31.5">
      <c r="A80" s="130"/>
      <c r="B80" s="309" t="s">
        <v>771</v>
      </c>
      <c r="C80" s="460">
        <f>SUM(C79,C13)</f>
        <v>75403323</v>
      </c>
      <c r="D80" s="460">
        <f>SUM(D79,D13)</f>
        <v>5550000</v>
      </c>
      <c r="E80" s="460">
        <f>SUM(E79,E13)</f>
        <v>80953323</v>
      </c>
      <c r="F80" s="795">
        <f>SUM(F79,F13)</f>
        <v>56278837</v>
      </c>
    </row>
    <row r="81" spans="1:6" s="696" customFormat="1" ht="15.75" hidden="1">
      <c r="A81" s="693">
        <v>310000</v>
      </c>
      <c r="B81" s="64" t="s">
        <v>763</v>
      </c>
      <c r="C81" s="305"/>
      <c r="D81" s="487"/>
      <c r="E81" s="487"/>
      <c r="F81" s="56"/>
    </row>
    <row r="82" spans="1:6" s="696" customFormat="1" ht="15.75" hidden="1">
      <c r="A82" s="695">
        <v>3110504</v>
      </c>
      <c r="B82" s="43" t="s">
        <v>836</v>
      </c>
      <c r="C82" s="306" t="e">
        <f>'PROJECTS DETAILS'!#REF!</f>
        <v>#REF!</v>
      </c>
      <c r="D82" s="487" t="e">
        <f>'PROJECTS DETAILS'!#REF!</f>
        <v>#REF!</v>
      </c>
      <c r="E82" s="487" t="e">
        <f>C82+D82</f>
        <v>#REF!</v>
      </c>
      <c r="F82" s="56"/>
    </row>
    <row r="83" spans="1:6" s="696" customFormat="1" ht="19.5" customHeight="1" hidden="1">
      <c r="A83" s="695">
        <v>7320300</v>
      </c>
      <c r="B83" s="717" t="s">
        <v>657</v>
      </c>
      <c r="C83" s="725" t="e">
        <f>'PROJECTS DETAILS'!#REF!</f>
        <v>#REF!</v>
      </c>
      <c r="D83" s="487" t="e">
        <f>'PROJECTS DETAILS'!#REF!</f>
        <v>#REF!</v>
      </c>
      <c r="E83" s="487" t="e">
        <f>C83+D83</f>
        <v>#REF!</v>
      </c>
      <c r="F83" s="56"/>
    </row>
    <row r="84" spans="1:6" s="62" customFormat="1" ht="31.5" hidden="1">
      <c r="A84" s="291"/>
      <c r="B84" s="310" t="s">
        <v>837</v>
      </c>
      <c r="C84" s="461" t="e">
        <f>SUM(C82:C83)</f>
        <v>#REF!</v>
      </c>
      <c r="D84" s="572" t="e">
        <f>SUM(D82:D83)</f>
        <v>#REF!</v>
      </c>
      <c r="E84" s="572"/>
      <c r="F84" s="796">
        <f>SUM(F82:F83)</f>
        <v>0</v>
      </c>
    </row>
    <row r="85" spans="1:6" s="62" customFormat="1" ht="31.5">
      <c r="A85" s="295"/>
      <c r="B85" s="310" t="s">
        <v>772</v>
      </c>
      <c r="C85" s="461" t="e">
        <f>SUM(C84,C80)</f>
        <v>#REF!</v>
      </c>
      <c r="D85" s="572" t="e">
        <f>SUM(D84,D80)</f>
        <v>#REF!</v>
      </c>
      <c r="E85" s="572">
        <f>SUM(E84,E80)</f>
        <v>80953323</v>
      </c>
      <c r="F85" s="796">
        <f>SUM(F84,F80)</f>
        <v>56278837</v>
      </c>
    </row>
    <row r="86" spans="1:6" ht="15.75">
      <c r="A86" s="131" t="s">
        <v>738</v>
      </c>
      <c r="B86" s="131" t="s">
        <v>734</v>
      </c>
      <c r="C86" s="462"/>
      <c r="D86" s="485"/>
      <c r="E86" s="485"/>
      <c r="F86" s="505"/>
    </row>
    <row r="87" spans="1:6" ht="15.75">
      <c r="A87" s="129"/>
      <c r="B87" s="101" t="s">
        <v>35</v>
      </c>
      <c r="C87" s="169"/>
      <c r="D87" s="485"/>
      <c r="E87" s="485"/>
      <c r="F87" s="505"/>
    </row>
    <row r="88" spans="1:6" ht="15.75">
      <c r="A88" s="133" t="s">
        <v>33</v>
      </c>
      <c r="B88" s="99" t="s">
        <v>34</v>
      </c>
      <c r="C88" s="169">
        <v>250000</v>
      </c>
      <c r="D88" s="485"/>
      <c r="E88" s="485">
        <f>C88+D88</f>
        <v>250000</v>
      </c>
      <c r="F88" s="830">
        <v>200000</v>
      </c>
    </row>
    <row r="89" spans="1:6" ht="15.75">
      <c r="A89" s="129">
        <v>2210302</v>
      </c>
      <c r="B89" s="99" t="s">
        <v>37</v>
      </c>
      <c r="C89" s="169">
        <v>500000</v>
      </c>
      <c r="D89" s="485"/>
      <c r="E89" s="485">
        <f>C89+D89</f>
        <v>500000</v>
      </c>
      <c r="F89" s="830">
        <v>300000</v>
      </c>
    </row>
    <row r="90" spans="1:6" ht="15.75">
      <c r="A90" s="129">
        <v>2210303</v>
      </c>
      <c r="B90" s="99" t="s">
        <v>39</v>
      </c>
      <c r="C90" s="169">
        <v>750000</v>
      </c>
      <c r="D90" s="485"/>
      <c r="E90" s="485">
        <f>C90+D90</f>
        <v>750000</v>
      </c>
      <c r="F90" s="830">
        <v>500000</v>
      </c>
    </row>
    <row r="91" spans="1:6" ht="15.75">
      <c r="A91" s="129">
        <v>2210304</v>
      </c>
      <c r="B91" s="99" t="s">
        <v>41</v>
      </c>
      <c r="C91" s="169">
        <v>75000</v>
      </c>
      <c r="D91" s="485"/>
      <c r="E91" s="485">
        <f>C91+D91</f>
        <v>75000</v>
      </c>
      <c r="F91" s="830"/>
    </row>
    <row r="92" spans="1:6" ht="15.75">
      <c r="A92" s="130" t="s">
        <v>170</v>
      </c>
      <c r="B92" s="6"/>
      <c r="C92" s="304">
        <f>SUM(C88:C91)</f>
        <v>1575000</v>
      </c>
      <c r="D92" s="527">
        <f>SUM(D88:D91)</f>
        <v>0</v>
      </c>
      <c r="E92" s="527">
        <f>SUM(E88:E91)</f>
        <v>1575000</v>
      </c>
      <c r="F92" s="486">
        <f>SUM(F88:F91)</f>
        <v>1000000</v>
      </c>
    </row>
    <row r="93" spans="1:6" ht="15.75">
      <c r="A93" s="129"/>
      <c r="B93" s="101" t="s">
        <v>50</v>
      </c>
      <c r="C93" s="169"/>
      <c r="D93" s="485"/>
      <c r="E93" s="485"/>
      <c r="F93" s="505"/>
    </row>
    <row r="94" spans="1:6" ht="15.75">
      <c r="A94" s="129">
        <v>2210502</v>
      </c>
      <c r="B94" s="56" t="s">
        <v>52</v>
      </c>
      <c r="C94" s="306">
        <v>200000</v>
      </c>
      <c r="D94" s="487">
        <f>6164000-1058592-1000000</f>
        <v>4105408</v>
      </c>
      <c r="E94" s="487">
        <f>C94+D94</f>
        <v>4305408</v>
      </c>
      <c r="F94" s="830">
        <v>500000</v>
      </c>
    </row>
    <row r="95" spans="1:6" ht="15.75">
      <c r="A95" s="129">
        <v>2210503</v>
      </c>
      <c r="B95" s="56" t="s">
        <v>54</v>
      </c>
      <c r="C95" s="306">
        <v>300000</v>
      </c>
      <c r="D95" s="487">
        <v>-150000</v>
      </c>
      <c r="E95" s="487">
        <f>C95+D95</f>
        <v>150000</v>
      </c>
      <c r="F95" s="830">
        <v>50000</v>
      </c>
    </row>
    <row r="96" spans="1:6" ht="15.75">
      <c r="A96" s="129">
        <v>2210504</v>
      </c>
      <c r="B96" s="56" t="s">
        <v>441</v>
      </c>
      <c r="C96" s="306">
        <v>3000000</v>
      </c>
      <c r="D96" s="487">
        <f>-1100000+1058592</f>
        <v>-41408</v>
      </c>
      <c r="E96" s="487">
        <f>C96+D96</f>
        <v>2958592</v>
      </c>
      <c r="F96" s="830">
        <v>2000000</v>
      </c>
    </row>
    <row r="97" spans="1:6" ht="15.75">
      <c r="A97" s="129">
        <v>2210504</v>
      </c>
      <c r="B97" s="99" t="s">
        <v>56</v>
      </c>
      <c r="C97" s="169">
        <v>300000</v>
      </c>
      <c r="D97" s="485"/>
      <c r="E97" s="485">
        <f>C97+D97</f>
        <v>300000</v>
      </c>
      <c r="F97" s="830"/>
    </row>
    <row r="98" spans="1:6" ht="15.75">
      <c r="A98" s="130" t="s">
        <v>170</v>
      </c>
      <c r="B98" s="6"/>
      <c r="C98" s="304">
        <f>SUM(C94:C97)</f>
        <v>3800000</v>
      </c>
      <c r="D98" s="527">
        <f>SUM(D94:D97)</f>
        <v>3914000</v>
      </c>
      <c r="E98" s="527">
        <f>SUM(E94:E97)</f>
        <v>7714000</v>
      </c>
      <c r="F98" s="486">
        <f>SUM(F94:F97)</f>
        <v>2550000</v>
      </c>
    </row>
    <row r="99" spans="1:6" ht="15.75">
      <c r="A99" s="129"/>
      <c r="B99" s="101" t="s">
        <v>68</v>
      </c>
      <c r="C99" s="169"/>
      <c r="D99" s="485"/>
      <c r="E99" s="485"/>
      <c r="F99" s="505"/>
    </row>
    <row r="100" spans="1:6" ht="15.75">
      <c r="A100" s="129">
        <v>2210701</v>
      </c>
      <c r="B100" s="99" t="s">
        <v>67</v>
      </c>
      <c r="C100" s="169">
        <v>12000</v>
      </c>
      <c r="D100" s="485"/>
      <c r="E100" s="485">
        <f aca="true" t="shared" si="2" ref="E100:E106">C100+D100</f>
        <v>12000</v>
      </c>
      <c r="F100" s="830">
        <v>50000</v>
      </c>
    </row>
    <row r="101" spans="1:6" ht="15.75">
      <c r="A101" s="129">
        <v>2210702</v>
      </c>
      <c r="B101" s="99" t="s">
        <v>70</v>
      </c>
      <c r="C101" s="169">
        <v>120000</v>
      </c>
      <c r="D101" s="485"/>
      <c r="E101" s="485">
        <f t="shared" si="2"/>
        <v>120000</v>
      </c>
      <c r="F101" s="830"/>
    </row>
    <row r="102" spans="1:6" ht="15.75">
      <c r="A102" s="129">
        <v>2210703</v>
      </c>
      <c r="B102" s="99" t="s">
        <v>72</v>
      </c>
      <c r="C102" s="169">
        <v>60000</v>
      </c>
      <c r="D102" s="485"/>
      <c r="E102" s="485">
        <f t="shared" si="2"/>
        <v>60000</v>
      </c>
      <c r="F102" s="830">
        <v>50000</v>
      </c>
    </row>
    <row r="103" spans="1:6" ht="15.75">
      <c r="A103" s="129">
        <v>2210704</v>
      </c>
      <c r="B103" s="99" t="s">
        <v>74</v>
      </c>
      <c r="C103" s="169">
        <v>60000</v>
      </c>
      <c r="D103" s="485"/>
      <c r="E103" s="485">
        <f t="shared" si="2"/>
        <v>60000</v>
      </c>
      <c r="F103" s="830"/>
    </row>
    <row r="104" spans="1:6" ht="15.75">
      <c r="A104" s="129">
        <v>2210710</v>
      </c>
      <c r="B104" s="99" t="s">
        <v>76</v>
      </c>
      <c r="C104" s="169">
        <v>240000</v>
      </c>
      <c r="D104" s="485"/>
      <c r="E104" s="485">
        <f t="shared" si="2"/>
        <v>240000</v>
      </c>
      <c r="F104" s="830">
        <v>300000</v>
      </c>
    </row>
    <row r="105" spans="1:6" ht="15.75">
      <c r="A105" s="129">
        <v>2210712</v>
      </c>
      <c r="B105" s="99" t="s">
        <v>79</v>
      </c>
      <c r="C105" s="169">
        <v>140000</v>
      </c>
      <c r="D105" s="485"/>
      <c r="E105" s="485">
        <f t="shared" si="2"/>
        <v>140000</v>
      </c>
      <c r="F105" s="830">
        <v>300000</v>
      </c>
    </row>
    <row r="106" spans="1:6" ht="15.75">
      <c r="A106" s="129">
        <v>2210715</v>
      </c>
      <c r="B106" s="99" t="s">
        <v>81</v>
      </c>
      <c r="C106" s="169">
        <v>350000</v>
      </c>
      <c r="D106" s="485"/>
      <c r="E106" s="485">
        <f t="shared" si="2"/>
        <v>350000</v>
      </c>
      <c r="F106" s="830">
        <v>500000</v>
      </c>
    </row>
    <row r="107" spans="1:6" ht="15.75">
      <c r="A107" s="130" t="s">
        <v>170</v>
      </c>
      <c r="B107" s="6"/>
      <c r="C107" s="304">
        <f>SUM(C100:C106)</f>
        <v>982000</v>
      </c>
      <c r="D107" s="527">
        <f>SUM(D100:D106)</f>
        <v>0</v>
      </c>
      <c r="E107" s="527">
        <f>SUM(E100:E106)</f>
        <v>982000</v>
      </c>
      <c r="F107" s="486">
        <f>SUM(F100:F106)</f>
        <v>1200000</v>
      </c>
    </row>
    <row r="108" spans="1:6" ht="15.75">
      <c r="A108" s="134"/>
      <c r="B108" s="101" t="s">
        <v>136</v>
      </c>
      <c r="C108" s="169"/>
      <c r="D108" s="485"/>
      <c r="E108" s="485"/>
      <c r="F108" s="505"/>
    </row>
    <row r="109" spans="1:6" ht="15.75">
      <c r="A109" s="134"/>
      <c r="B109" s="56" t="s">
        <v>1065</v>
      </c>
      <c r="C109" s="169"/>
      <c r="D109" s="485">
        <v>2000000</v>
      </c>
      <c r="E109" s="487">
        <f>C109+D109</f>
        <v>2000000</v>
      </c>
      <c r="F109" s="830">
        <v>2000000</v>
      </c>
    </row>
    <row r="110" spans="1:6" s="62" customFormat="1" ht="15.75">
      <c r="A110" s="129">
        <v>2211311</v>
      </c>
      <c r="B110" s="56" t="s">
        <v>676</v>
      </c>
      <c r="C110" s="306">
        <v>2000000</v>
      </c>
      <c r="D110" s="487"/>
      <c r="E110" s="487">
        <f>C110+D110</f>
        <v>2000000</v>
      </c>
      <c r="F110" s="830">
        <v>2000000</v>
      </c>
    </row>
    <row r="111" spans="1:6" ht="15.75">
      <c r="A111" s="130" t="s">
        <v>170</v>
      </c>
      <c r="B111" s="6"/>
      <c r="C111" s="304">
        <f>SUM(C109:C110)</f>
        <v>2000000</v>
      </c>
      <c r="D111" s="304">
        <f>SUM(D109:D110)</f>
        <v>2000000</v>
      </c>
      <c r="E111" s="304">
        <f>SUM(E109:E110)</f>
        <v>4000000</v>
      </c>
      <c r="F111" s="61">
        <f>SUM(F109:F110)</f>
        <v>4000000</v>
      </c>
    </row>
    <row r="112" spans="1:6" ht="15.75">
      <c r="A112" s="130"/>
      <c r="B112" s="6" t="s">
        <v>742</v>
      </c>
      <c r="C112" s="304">
        <f>SUM(C111,,C107,C98,C92,)</f>
        <v>8357000</v>
      </c>
      <c r="D112" s="304">
        <f>SUM(D111,,D107,D98,D92,)</f>
        <v>5914000</v>
      </c>
      <c r="E112" s="304">
        <f>SUM(E111,,E107,E98,E92,)</f>
        <v>14271000</v>
      </c>
      <c r="F112" s="61">
        <f>SUM(F111,,F107,F98,F92,)</f>
        <v>8750000</v>
      </c>
    </row>
    <row r="113" spans="1:6" ht="15.75">
      <c r="A113" s="134" t="s">
        <v>739</v>
      </c>
      <c r="B113" s="135" t="s">
        <v>735</v>
      </c>
      <c r="C113" s="169"/>
      <c r="D113" s="485"/>
      <c r="E113" s="485"/>
      <c r="F113" s="505"/>
    </row>
    <row r="114" spans="1:6" ht="15.75">
      <c r="A114" s="134"/>
      <c r="B114" s="101" t="s">
        <v>35</v>
      </c>
      <c r="C114" s="169"/>
      <c r="D114" s="485"/>
      <c r="E114" s="485"/>
      <c r="F114" s="505"/>
    </row>
    <row r="115" spans="1:6" ht="15.75">
      <c r="A115" s="133" t="s">
        <v>33</v>
      </c>
      <c r="B115" s="99" t="s">
        <v>34</v>
      </c>
      <c r="C115" s="169">
        <v>225000</v>
      </c>
      <c r="D115" s="485"/>
      <c r="E115" s="485">
        <f>C115+D115</f>
        <v>225000</v>
      </c>
      <c r="F115" s="830">
        <v>200000</v>
      </c>
    </row>
    <row r="116" spans="1:6" ht="15.75">
      <c r="A116" s="129">
        <v>2210302</v>
      </c>
      <c r="B116" s="99" t="s">
        <v>37</v>
      </c>
      <c r="C116" s="169">
        <v>750000</v>
      </c>
      <c r="D116" s="485"/>
      <c r="E116" s="485">
        <f>C116+D116</f>
        <v>750000</v>
      </c>
      <c r="F116" s="830">
        <v>500000</v>
      </c>
    </row>
    <row r="117" spans="1:6" ht="15.75">
      <c r="A117" s="129">
        <v>2210303</v>
      </c>
      <c r="B117" s="99" t="s">
        <v>39</v>
      </c>
      <c r="C117" s="169">
        <v>1000000</v>
      </c>
      <c r="D117" s="485"/>
      <c r="E117" s="485">
        <f>C117+D117</f>
        <v>1000000</v>
      </c>
      <c r="F117" s="830">
        <v>800000</v>
      </c>
    </row>
    <row r="118" spans="1:6" ht="15.75">
      <c r="A118" s="129">
        <v>2210304</v>
      </c>
      <c r="B118" s="99" t="s">
        <v>41</v>
      </c>
      <c r="C118" s="169">
        <v>75000</v>
      </c>
      <c r="D118" s="485"/>
      <c r="E118" s="485">
        <f>C118+D118</f>
        <v>75000</v>
      </c>
      <c r="F118" s="830"/>
    </row>
    <row r="119" spans="1:6" ht="15.75">
      <c r="A119" s="130" t="s">
        <v>170</v>
      </c>
      <c r="B119" s="14"/>
      <c r="C119" s="304">
        <f>SUM(C115:C118)</f>
        <v>2050000</v>
      </c>
      <c r="D119" s="527">
        <f>SUM(D115:D118)</f>
        <v>0</v>
      </c>
      <c r="E119" s="527">
        <f>SUM(E115:E118)</f>
        <v>2050000</v>
      </c>
      <c r="F119" s="486">
        <f>SUM(F115:F118)</f>
        <v>1500000</v>
      </c>
    </row>
    <row r="120" spans="1:6" ht="15.75">
      <c r="A120" s="134"/>
      <c r="B120" s="101" t="s">
        <v>59</v>
      </c>
      <c r="C120" s="169"/>
      <c r="D120" s="485"/>
      <c r="E120" s="485"/>
      <c r="F120" s="505"/>
    </row>
    <row r="121" spans="1:6" ht="15.75">
      <c r="A121" s="129">
        <v>2210603</v>
      </c>
      <c r="B121" s="99" t="s">
        <v>63</v>
      </c>
      <c r="C121" s="169">
        <v>500000</v>
      </c>
      <c r="D121" s="485"/>
      <c r="E121" s="485">
        <f>C121+D121</f>
        <v>500000</v>
      </c>
      <c r="F121" s="830">
        <v>200000</v>
      </c>
    </row>
    <row r="122" spans="1:6" ht="15.75">
      <c r="A122" s="130" t="s">
        <v>170</v>
      </c>
      <c r="B122" s="14"/>
      <c r="C122" s="304">
        <f>SUM(C121:C121)</f>
        <v>500000</v>
      </c>
      <c r="D122" s="527">
        <f>SUM(D121:D121)</f>
        <v>0</v>
      </c>
      <c r="E122" s="527">
        <f>SUM(E121:E121)</f>
        <v>500000</v>
      </c>
      <c r="F122" s="486">
        <f>SUM(F121:F121)</f>
        <v>200000</v>
      </c>
    </row>
    <row r="123" spans="1:6" ht="15.75">
      <c r="A123" s="130"/>
      <c r="B123" s="6" t="s">
        <v>743</v>
      </c>
      <c r="C123" s="304">
        <f>SUM(C122,,C119)</f>
        <v>2550000</v>
      </c>
      <c r="D123" s="304">
        <f>SUM(D122,,D119)</f>
        <v>0</v>
      </c>
      <c r="E123" s="304">
        <f>SUM(E122,,E119)</f>
        <v>2550000</v>
      </c>
      <c r="F123" s="61">
        <f>SUM(F122,,F119)</f>
        <v>1700000</v>
      </c>
    </row>
    <row r="124" spans="1:6" ht="15.75">
      <c r="A124" s="136" t="s">
        <v>740</v>
      </c>
      <c r="B124" s="136" t="s">
        <v>736</v>
      </c>
      <c r="C124" s="169"/>
      <c r="D124" s="485"/>
      <c r="E124" s="485"/>
      <c r="F124" s="505"/>
    </row>
    <row r="125" spans="1:6" ht="15.75">
      <c r="A125" s="129"/>
      <c r="B125" s="101" t="s">
        <v>35</v>
      </c>
      <c r="C125" s="169"/>
      <c r="D125" s="485"/>
      <c r="E125" s="485"/>
      <c r="F125" s="505"/>
    </row>
    <row r="126" spans="1:6" ht="15.75">
      <c r="A126" s="133" t="s">
        <v>33</v>
      </c>
      <c r="B126" s="99" t="s">
        <v>34</v>
      </c>
      <c r="C126" s="306">
        <v>100000</v>
      </c>
      <c r="D126" s="485"/>
      <c r="E126" s="485">
        <f>C126+D126</f>
        <v>100000</v>
      </c>
      <c r="F126" s="829">
        <v>100000</v>
      </c>
    </row>
    <row r="127" spans="1:6" ht="15.75">
      <c r="A127" s="129">
        <v>2210302</v>
      </c>
      <c r="B127" s="99" t="s">
        <v>37</v>
      </c>
      <c r="C127" s="306">
        <v>500000</v>
      </c>
      <c r="D127" s="485"/>
      <c r="E127" s="485">
        <f>C127+D127</f>
        <v>500000</v>
      </c>
      <c r="F127" s="830">
        <v>300000</v>
      </c>
    </row>
    <row r="128" spans="1:6" ht="15.75">
      <c r="A128" s="129">
        <v>2210303</v>
      </c>
      <c r="B128" s="99" t="s">
        <v>39</v>
      </c>
      <c r="C128" s="306">
        <v>500000</v>
      </c>
      <c r="D128" s="485"/>
      <c r="E128" s="485">
        <f>C128+D128</f>
        <v>500000</v>
      </c>
      <c r="F128" s="830">
        <v>300000</v>
      </c>
    </row>
    <row r="129" spans="1:6" ht="15.75">
      <c r="A129" s="130" t="s">
        <v>170</v>
      </c>
      <c r="B129" s="6"/>
      <c r="C129" s="304">
        <f>SUM(C126:C128)</f>
        <v>1100000</v>
      </c>
      <c r="D129" s="527">
        <f>SUM(D126:D128)</f>
        <v>0</v>
      </c>
      <c r="E129" s="527">
        <f>SUM(E126:E128)</f>
        <v>1100000</v>
      </c>
      <c r="F129" s="486">
        <f>SUM(F126:F128)</f>
        <v>700000</v>
      </c>
    </row>
    <row r="130" spans="1:6" ht="15.75">
      <c r="A130" s="129"/>
      <c r="B130" s="101" t="s">
        <v>68</v>
      </c>
      <c r="C130" s="306"/>
      <c r="D130" s="485"/>
      <c r="E130" s="485"/>
      <c r="F130" s="505"/>
    </row>
    <row r="131" spans="1:6" ht="15.75">
      <c r="A131" s="129">
        <v>2210702</v>
      </c>
      <c r="B131" s="99" t="s">
        <v>70</v>
      </c>
      <c r="C131" s="306">
        <v>500000</v>
      </c>
      <c r="D131" s="485">
        <v>-250000</v>
      </c>
      <c r="E131" s="485">
        <f>C131+D131</f>
        <v>250000</v>
      </c>
      <c r="F131" s="829">
        <v>250000</v>
      </c>
    </row>
    <row r="132" spans="1:6" ht="15.75">
      <c r="A132" s="129">
        <v>2210704</v>
      </c>
      <c r="B132" s="99" t="s">
        <v>74</v>
      </c>
      <c r="C132" s="306">
        <v>350000</v>
      </c>
      <c r="D132" s="485">
        <v>0</v>
      </c>
      <c r="E132" s="485">
        <f>C132+D132</f>
        <v>350000</v>
      </c>
      <c r="F132" s="829">
        <v>100000</v>
      </c>
    </row>
    <row r="133" spans="1:6" ht="15.75">
      <c r="A133" s="129">
        <v>2210710</v>
      </c>
      <c r="B133" s="99" t="s">
        <v>76</v>
      </c>
      <c r="C133" s="306">
        <v>500000</v>
      </c>
      <c r="D133" s="485">
        <v>-250000</v>
      </c>
      <c r="E133" s="485">
        <f>C133+D133</f>
        <v>250000</v>
      </c>
      <c r="F133" s="829">
        <v>150000</v>
      </c>
    </row>
    <row r="134" spans="1:6" ht="15.75">
      <c r="A134" s="130" t="s">
        <v>170</v>
      </c>
      <c r="B134" s="6"/>
      <c r="C134" s="304">
        <f>SUM(C131:C133)</f>
        <v>1350000</v>
      </c>
      <c r="D134" s="304">
        <f>SUM(D131:D133)</f>
        <v>-500000</v>
      </c>
      <c r="E134" s="304">
        <f>SUM(E131:E133)</f>
        <v>850000</v>
      </c>
      <c r="F134" s="61">
        <f>SUM(F131:F133)</f>
        <v>500000</v>
      </c>
    </row>
    <row r="135" spans="1:6" ht="15.75">
      <c r="A135" s="130"/>
      <c r="B135" s="6" t="s">
        <v>744</v>
      </c>
      <c r="C135" s="304">
        <f>SUM(,C134,,C129)</f>
        <v>2450000</v>
      </c>
      <c r="D135" s="304">
        <f>SUM(,D134,,D129)</f>
        <v>-500000</v>
      </c>
      <c r="E135" s="304">
        <f>SUM(,E134,,E129)</f>
        <v>1950000</v>
      </c>
      <c r="F135" s="61">
        <f>SUM(,F134,,F129)</f>
        <v>1200000</v>
      </c>
    </row>
    <row r="136" spans="1:6" ht="15.75">
      <c r="A136" s="136" t="s">
        <v>741</v>
      </c>
      <c r="B136" s="136" t="s">
        <v>737</v>
      </c>
      <c r="C136" s="463"/>
      <c r="D136" s="485"/>
      <c r="E136" s="485"/>
      <c r="F136" s="505"/>
    </row>
    <row r="137" spans="1:6" ht="15.75">
      <c r="A137" s="129"/>
      <c r="B137" s="101" t="s">
        <v>35</v>
      </c>
      <c r="C137" s="169"/>
      <c r="D137" s="485"/>
      <c r="E137" s="485"/>
      <c r="F137" s="505"/>
    </row>
    <row r="138" spans="1:6" ht="15.75">
      <c r="A138" s="133" t="s">
        <v>33</v>
      </c>
      <c r="B138" s="99" t="s">
        <v>34</v>
      </c>
      <c r="C138" s="169">
        <v>150000</v>
      </c>
      <c r="D138" s="485"/>
      <c r="E138" s="485">
        <f>C138+D138</f>
        <v>150000</v>
      </c>
      <c r="F138" s="829">
        <v>100000</v>
      </c>
    </row>
    <row r="139" spans="1:6" ht="15.75">
      <c r="A139" s="129">
        <v>2210302</v>
      </c>
      <c r="B139" s="99" t="s">
        <v>37</v>
      </c>
      <c r="C139" s="169">
        <v>500000</v>
      </c>
      <c r="D139" s="485"/>
      <c r="E139" s="485">
        <f>C139+D139</f>
        <v>500000</v>
      </c>
      <c r="F139" s="830">
        <v>400000</v>
      </c>
    </row>
    <row r="140" spans="1:6" ht="15.75">
      <c r="A140" s="129">
        <v>2210303</v>
      </c>
      <c r="B140" s="99" t="s">
        <v>39</v>
      </c>
      <c r="C140" s="169">
        <v>650000</v>
      </c>
      <c r="D140" s="485"/>
      <c r="E140" s="485">
        <f>C140+D140</f>
        <v>650000</v>
      </c>
      <c r="F140" s="830">
        <v>500000</v>
      </c>
    </row>
    <row r="141" spans="1:6" ht="15.75">
      <c r="A141" s="129">
        <v>2210304</v>
      </c>
      <c r="B141" s="99" t="s">
        <v>41</v>
      </c>
      <c r="C141" s="169">
        <v>50000</v>
      </c>
      <c r="D141" s="485"/>
      <c r="E141" s="485">
        <f>C141+D141</f>
        <v>50000</v>
      </c>
      <c r="F141" s="829"/>
    </row>
    <row r="142" spans="1:6" ht="15.75">
      <c r="A142" s="129" t="s">
        <v>414</v>
      </c>
      <c r="B142" s="99" t="s">
        <v>415</v>
      </c>
      <c r="C142" s="169">
        <v>250000</v>
      </c>
      <c r="D142" s="485"/>
      <c r="E142" s="485">
        <f>C142+D142</f>
        <v>250000</v>
      </c>
      <c r="F142" s="830">
        <v>500000</v>
      </c>
    </row>
    <row r="143" spans="1:6" ht="15.75">
      <c r="A143" s="130" t="s">
        <v>170</v>
      </c>
      <c r="B143" s="14"/>
      <c r="C143" s="304">
        <f>SUM(C138:C142)</f>
        <v>1600000</v>
      </c>
      <c r="D143" s="527">
        <f>SUM(D138:D142)</f>
        <v>0</v>
      </c>
      <c r="E143" s="527">
        <f>SUM(E138:E142)</f>
        <v>1600000</v>
      </c>
      <c r="F143" s="486">
        <f>SUM(F138:F142)</f>
        <v>1500000</v>
      </c>
    </row>
    <row r="144" spans="1:6" ht="15.75">
      <c r="A144" s="129"/>
      <c r="B144" s="101" t="s">
        <v>68</v>
      </c>
      <c r="C144" s="306"/>
      <c r="D144" s="485"/>
      <c r="E144" s="485"/>
      <c r="F144" s="505"/>
    </row>
    <row r="145" spans="1:6" ht="15.75">
      <c r="A145" s="129">
        <v>2210710</v>
      </c>
      <c r="B145" s="99" t="s">
        <v>76</v>
      </c>
      <c r="C145" s="306">
        <v>1000000</v>
      </c>
      <c r="D145" s="485">
        <v>-500000</v>
      </c>
      <c r="E145" s="485">
        <f>C145+D145</f>
        <v>500000</v>
      </c>
      <c r="F145" s="829">
        <v>500000</v>
      </c>
    </row>
    <row r="146" spans="1:6" ht="15.75">
      <c r="A146" s="129">
        <v>2210712</v>
      </c>
      <c r="B146" s="99" t="s">
        <v>442</v>
      </c>
      <c r="C146" s="306">
        <v>500000</v>
      </c>
      <c r="D146" s="485"/>
      <c r="E146" s="485">
        <f>C146+D146</f>
        <v>500000</v>
      </c>
      <c r="F146" s="829">
        <v>500000</v>
      </c>
    </row>
    <row r="147" spans="1:6" ht="15.75">
      <c r="A147" s="129">
        <v>2210715</v>
      </c>
      <c r="B147" s="99" t="s">
        <v>81</v>
      </c>
      <c r="C147" s="306">
        <v>500000</v>
      </c>
      <c r="D147" s="485"/>
      <c r="E147" s="485">
        <f>C147+D147</f>
        <v>500000</v>
      </c>
      <c r="F147" s="829">
        <v>500000</v>
      </c>
    </row>
    <row r="148" spans="1:6" ht="15.75">
      <c r="A148" s="130" t="s">
        <v>170</v>
      </c>
      <c r="B148" s="14"/>
      <c r="C148" s="304">
        <f>SUM(C145:C147)</f>
        <v>2000000</v>
      </c>
      <c r="D148" s="304">
        <f>SUM(D145:D147)</f>
        <v>-500000</v>
      </c>
      <c r="E148" s="304">
        <f>SUM(E145:E147)</f>
        <v>1500000</v>
      </c>
      <c r="F148" s="61">
        <f>SUM(F145:F147)</f>
        <v>1500000</v>
      </c>
    </row>
    <row r="149" spans="1:6" ht="15.75">
      <c r="A149" s="129"/>
      <c r="B149" s="101" t="s">
        <v>124</v>
      </c>
      <c r="C149" s="169"/>
      <c r="D149" s="485"/>
      <c r="E149" s="485"/>
      <c r="F149" s="505"/>
    </row>
    <row r="150" spans="1:6" ht="15.75">
      <c r="A150" s="129" t="s">
        <v>122</v>
      </c>
      <c r="B150" s="99" t="s">
        <v>123</v>
      </c>
      <c r="C150" s="169">
        <v>800000</v>
      </c>
      <c r="D150" s="485"/>
      <c r="E150" s="485">
        <f>C150+D150</f>
        <v>800000</v>
      </c>
      <c r="F150" s="830">
        <v>500000</v>
      </c>
    </row>
    <row r="151" spans="1:6" ht="15.75">
      <c r="A151" s="129" t="s">
        <v>125</v>
      </c>
      <c r="B151" s="99" t="s">
        <v>126</v>
      </c>
      <c r="C151" s="169">
        <v>750000</v>
      </c>
      <c r="D151" s="485"/>
      <c r="E151" s="485">
        <f>C151+D151</f>
        <v>750000</v>
      </c>
      <c r="F151" s="830">
        <v>300000</v>
      </c>
    </row>
    <row r="152" spans="1:6" ht="15.75">
      <c r="A152" s="129" t="s">
        <v>127</v>
      </c>
      <c r="B152" s="99" t="s">
        <v>128</v>
      </c>
      <c r="C152" s="169">
        <v>400000</v>
      </c>
      <c r="D152" s="485"/>
      <c r="E152" s="485">
        <f>C152+D152</f>
        <v>400000</v>
      </c>
      <c r="F152" s="830">
        <v>200000</v>
      </c>
    </row>
    <row r="153" spans="1:6" ht="15.75">
      <c r="A153" s="129">
        <v>3111002</v>
      </c>
      <c r="B153" s="99" t="s">
        <v>901</v>
      </c>
      <c r="C153" s="169">
        <v>3000000</v>
      </c>
      <c r="D153" s="485"/>
      <c r="E153" s="485">
        <f>C153+D153</f>
        <v>3000000</v>
      </c>
      <c r="F153" s="830"/>
    </row>
    <row r="154" spans="1:6" ht="15.75">
      <c r="A154" s="130" t="s">
        <v>170</v>
      </c>
      <c r="B154" s="6"/>
      <c r="C154" s="304">
        <f>SUM(C150:C153)</f>
        <v>4950000</v>
      </c>
      <c r="D154" s="527">
        <f>SUM(D150:D153)</f>
        <v>0</v>
      </c>
      <c r="E154" s="527">
        <f>SUM(E150:E153)</f>
        <v>4950000</v>
      </c>
      <c r="F154" s="486">
        <f>SUM(F150:F153)</f>
        <v>1000000</v>
      </c>
    </row>
    <row r="155" spans="1:6" ht="15.75">
      <c r="A155" s="130"/>
      <c r="B155" s="6" t="s">
        <v>745</v>
      </c>
      <c r="C155" s="304">
        <f>SUM(C154,C148,C143)</f>
        <v>8550000</v>
      </c>
      <c r="D155" s="304">
        <f>SUM(D154,D148,D143)</f>
        <v>-500000</v>
      </c>
      <c r="E155" s="304">
        <f>SUM(E154,E148,E143)</f>
        <v>8050000</v>
      </c>
      <c r="F155" s="61">
        <f>SUM(F154,F148,F143)</f>
        <v>4000000</v>
      </c>
    </row>
    <row r="156" spans="1:6" ht="15.75">
      <c r="A156" s="130"/>
      <c r="B156" s="130" t="s">
        <v>171</v>
      </c>
      <c r="C156" s="304">
        <f>SUM(C155,C135,C123,C112,C79)</f>
        <v>64340000</v>
      </c>
      <c r="D156" s="527">
        <f>SUM(D155,D135,D123,D112,D79)</f>
        <v>10464000</v>
      </c>
      <c r="E156" s="527">
        <f>SUM(E155,E135,E123,E112,E79)</f>
        <v>74804000</v>
      </c>
      <c r="F156" s="486">
        <f>SUM(F155,F135,F123,F112,F79)</f>
        <v>37310000</v>
      </c>
    </row>
    <row r="157" spans="1:6" ht="15.75">
      <c r="A157" s="130"/>
      <c r="B157" s="140" t="s">
        <v>784</v>
      </c>
      <c r="C157" s="304">
        <f>SUM(C156,C13)</f>
        <v>97310323</v>
      </c>
      <c r="D157" s="304">
        <f>SUM(D156,D13)</f>
        <v>10464000</v>
      </c>
      <c r="E157" s="304">
        <f>SUM(E156,E13)</f>
        <v>107774323</v>
      </c>
      <c r="F157" s="61">
        <f>SUM(F156,F13)</f>
        <v>71928837</v>
      </c>
    </row>
    <row r="158" spans="1:6" ht="15.75">
      <c r="A158" s="137"/>
      <c r="B158" s="6" t="s">
        <v>787</v>
      </c>
      <c r="C158" s="307" t="e">
        <f>SUM(C84)</f>
        <v>#REF!</v>
      </c>
      <c r="D158" s="528" t="e">
        <f>SUM(D84)</f>
        <v>#REF!</v>
      </c>
      <c r="E158" s="528"/>
      <c r="F158" s="495"/>
    </row>
    <row r="159" spans="1:6" ht="15.75">
      <c r="A159" s="137"/>
      <c r="B159" s="6" t="s">
        <v>790</v>
      </c>
      <c r="C159" s="307" t="e">
        <f>SUM(C157:C158)</f>
        <v>#REF!</v>
      </c>
      <c r="D159" s="307" t="e">
        <f>SUM(D157:D158)</f>
        <v>#REF!</v>
      </c>
      <c r="E159" s="307">
        <f>SUM(E157:E158)</f>
        <v>107774323</v>
      </c>
      <c r="F159" s="138">
        <f>SUM(F157:F158)</f>
        <v>71928837</v>
      </c>
    </row>
    <row r="160" spans="1:3" ht="15.75">
      <c r="A160" s="137"/>
      <c r="B160" s="137"/>
      <c r="C160" s="137"/>
    </row>
    <row r="161" spans="1:3" ht="15.75">
      <c r="A161" s="137"/>
      <c r="B161" s="137"/>
      <c r="C161" s="311">
        <v>-11830397</v>
      </c>
    </row>
  </sheetData>
  <sheetProtection/>
  <mergeCells count="2">
    <mergeCell ref="A1:C1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G131"/>
  <sheetViews>
    <sheetView view="pageBreakPreview" zoomScale="120" zoomScaleSheetLayoutView="120" zoomScalePageLayoutView="0" workbookViewId="0" topLeftCell="A1">
      <pane ySplit="2" topLeftCell="A56" activePane="bottomLeft" state="frozen"/>
      <selection pane="topLeft" activeCell="A1" sqref="A1"/>
      <selection pane="bottomLeft" activeCell="F61" sqref="F61"/>
    </sheetView>
  </sheetViews>
  <sheetFormatPr defaultColWidth="9.140625" defaultRowHeight="15"/>
  <cols>
    <col min="1" max="1" width="12.8515625" style="209" customWidth="1"/>
    <col min="2" max="2" width="71.421875" style="1" customWidth="1"/>
    <col min="3" max="3" width="15.57421875" style="54" hidden="1" customWidth="1"/>
    <col min="4" max="4" width="17.421875" style="573" hidden="1" customWidth="1"/>
    <col min="5" max="5" width="19.28125" style="544" customWidth="1"/>
    <col min="6" max="6" width="19.7109375" style="811" customWidth="1"/>
  </cols>
  <sheetData>
    <row r="1" spans="1:3" ht="15.75">
      <c r="A1" s="921" t="s">
        <v>406</v>
      </c>
      <c r="B1" s="922"/>
      <c r="C1" s="929"/>
    </row>
    <row r="2" spans="1:6" s="21" customFormat="1" ht="63">
      <c r="A2" s="904" t="s">
        <v>168</v>
      </c>
      <c r="B2" s="923"/>
      <c r="C2" s="192" t="s">
        <v>996</v>
      </c>
      <c r="D2" s="490" t="s">
        <v>995</v>
      </c>
      <c r="E2" s="561" t="s">
        <v>997</v>
      </c>
      <c r="F2" s="812" t="s">
        <v>1068</v>
      </c>
    </row>
    <row r="3" spans="1:6" s="21" customFormat="1" ht="15.75">
      <c r="A3" s="200">
        <v>11301</v>
      </c>
      <c r="B3" s="200" t="s">
        <v>680</v>
      </c>
      <c r="C3" s="192"/>
      <c r="D3" s="574"/>
      <c r="E3" s="520"/>
      <c r="F3" s="813"/>
    </row>
    <row r="4" spans="1:6" s="21" customFormat="1" ht="15.75">
      <c r="A4" s="200">
        <v>2100000</v>
      </c>
      <c r="B4" s="200" t="s">
        <v>678</v>
      </c>
      <c r="C4" s="192"/>
      <c r="D4" s="574"/>
      <c r="E4" s="520"/>
      <c r="F4" s="813"/>
    </row>
    <row r="5" spans="1:6" ht="15.75">
      <c r="A5" s="135"/>
      <c r="B5" s="101" t="s">
        <v>2</v>
      </c>
      <c r="C5" s="60"/>
      <c r="D5" s="575"/>
      <c r="E5" s="545"/>
      <c r="F5" s="814"/>
    </row>
    <row r="6" spans="1:6" ht="15.75">
      <c r="A6" s="12" t="s">
        <v>0</v>
      </c>
      <c r="B6" s="5" t="s">
        <v>1</v>
      </c>
      <c r="C6" s="60">
        <v>25234760</v>
      </c>
      <c r="D6" s="575"/>
      <c r="E6" s="545">
        <v>25234760</v>
      </c>
      <c r="F6" s="810">
        <v>26244150</v>
      </c>
    </row>
    <row r="7" spans="1:6" ht="15.75">
      <c r="A7" s="140" t="s">
        <v>170</v>
      </c>
      <c r="B7" s="6"/>
      <c r="C7" s="61">
        <f>SUM(C6)</f>
        <v>25234760</v>
      </c>
      <c r="D7" s="486">
        <f>SUM(D6)</f>
        <v>0</v>
      </c>
      <c r="E7" s="486">
        <f>SUM(E6)</f>
        <v>25234760</v>
      </c>
      <c r="F7" s="486">
        <f>SUM(F6)</f>
        <v>26244150</v>
      </c>
    </row>
    <row r="8" spans="1:6" ht="15.75">
      <c r="A8" s="12"/>
      <c r="B8" s="101" t="s">
        <v>5</v>
      </c>
      <c r="C8" s="60"/>
      <c r="D8" s="575"/>
      <c r="E8" s="545"/>
      <c r="F8" s="814"/>
    </row>
    <row r="9" spans="1:6" ht="15.75">
      <c r="A9" s="12" t="s">
        <v>3</v>
      </c>
      <c r="B9" s="99" t="s">
        <v>4</v>
      </c>
      <c r="C9" s="60">
        <v>7014612</v>
      </c>
      <c r="D9" s="575"/>
      <c r="E9" s="545">
        <v>7014612</v>
      </c>
      <c r="F9" s="810">
        <v>7295196</v>
      </c>
    </row>
    <row r="10" spans="1:6" ht="15.75">
      <c r="A10" s="12" t="s">
        <v>10</v>
      </c>
      <c r="B10" s="99" t="s">
        <v>11</v>
      </c>
      <c r="C10" s="60">
        <v>3513840</v>
      </c>
      <c r="D10" s="575"/>
      <c r="E10" s="545">
        <v>3513840</v>
      </c>
      <c r="F10" s="810">
        <v>3654393</v>
      </c>
    </row>
    <row r="11" spans="1:6" ht="15.75">
      <c r="A11" s="12" t="s">
        <v>12</v>
      </c>
      <c r="B11" s="99" t="s">
        <v>13</v>
      </c>
      <c r="C11" s="60">
        <v>392040</v>
      </c>
      <c r="D11" s="575"/>
      <c r="E11" s="545">
        <v>392040</v>
      </c>
      <c r="F11" s="810">
        <v>407721</v>
      </c>
    </row>
    <row r="12" spans="1:6" ht="15.75">
      <c r="A12" s="140" t="s">
        <v>170</v>
      </c>
      <c r="B12" s="6"/>
      <c r="C12" s="61">
        <f>SUM(C9:C11)</f>
        <v>10920492</v>
      </c>
      <c r="D12" s="486">
        <f>SUM(D9:D11)</f>
        <v>0</v>
      </c>
      <c r="E12" s="486">
        <f>SUM(E9:E11)</f>
        <v>10920492</v>
      </c>
      <c r="F12" s="486">
        <f>SUM(F9:F11)</f>
        <v>11357310</v>
      </c>
    </row>
    <row r="13" spans="1:6" ht="15.75">
      <c r="A13" s="140" t="s">
        <v>173</v>
      </c>
      <c r="B13" s="6"/>
      <c r="C13" s="61">
        <f>SUM(C7,C12)</f>
        <v>36155252</v>
      </c>
      <c r="D13" s="486">
        <f>SUM(D7,D12)</f>
        <v>0</v>
      </c>
      <c r="E13" s="486">
        <f>SUM(E7,E12)</f>
        <v>36155252</v>
      </c>
      <c r="F13" s="486">
        <f>SUM(F7,F12)</f>
        <v>37601460</v>
      </c>
    </row>
    <row r="14" spans="1:6" s="2" customFormat="1" ht="15.75">
      <c r="A14" s="202">
        <v>2200000</v>
      </c>
      <c r="B14" s="64" t="s">
        <v>679</v>
      </c>
      <c r="C14" s="104"/>
      <c r="D14" s="576"/>
      <c r="E14" s="546"/>
      <c r="F14" s="814"/>
    </row>
    <row r="15" spans="1:6" ht="15.75">
      <c r="A15" s="12"/>
      <c r="B15" s="101" t="s">
        <v>21</v>
      </c>
      <c r="C15" s="60"/>
      <c r="D15" s="575"/>
      <c r="E15" s="545"/>
      <c r="F15" s="814"/>
    </row>
    <row r="16" spans="1:6" ht="15.75">
      <c r="A16" s="12" t="s">
        <v>19</v>
      </c>
      <c r="B16" s="99" t="s">
        <v>20</v>
      </c>
      <c r="C16" s="60">
        <v>850000</v>
      </c>
      <c r="D16" s="575">
        <v>850000</v>
      </c>
      <c r="E16" s="545">
        <v>1700000</v>
      </c>
      <c r="F16" s="810">
        <v>1500000</v>
      </c>
    </row>
    <row r="17" spans="1:6" ht="15.75">
      <c r="A17" s="12" t="s">
        <v>22</v>
      </c>
      <c r="B17" s="99" t="s">
        <v>23</v>
      </c>
      <c r="C17" s="60">
        <v>450000</v>
      </c>
      <c r="D17" s="575"/>
      <c r="E17" s="545">
        <v>450000</v>
      </c>
      <c r="F17" s="810">
        <v>450000</v>
      </c>
    </row>
    <row r="18" spans="1:6" ht="15.75">
      <c r="A18" s="140" t="s">
        <v>170</v>
      </c>
      <c r="B18" s="6"/>
      <c r="C18" s="61">
        <f>SUM(C16:C17)</f>
        <v>1300000</v>
      </c>
      <c r="D18" s="486">
        <f>SUM(D16:D17)</f>
        <v>850000</v>
      </c>
      <c r="E18" s="486">
        <f>SUM(E16:E17)</f>
        <v>2150000</v>
      </c>
      <c r="F18" s="486">
        <f>SUM(F16:F17)</f>
        <v>1950000</v>
      </c>
    </row>
    <row r="19" spans="1:6" ht="15.75">
      <c r="A19" s="12"/>
      <c r="B19" s="101" t="s">
        <v>28</v>
      </c>
      <c r="C19" s="60"/>
      <c r="D19" s="575"/>
      <c r="E19" s="545"/>
      <c r="F19" s="814"/>
    </row>
    <row r="20" spans="1:6" ht="15.75">
      <c r="A20" s="12" t="s">
        <v>26</v>
      </c>
      <c r="B20" s="99" t="s">
        <v>27</v>
      </c>
      <c r="C20" s="60">
        <v>200000</v>
      </c>
      <c r="D20" s="575"/>
      <c r="E20" s="545">
        <v>200000</v>
      </c>
      <c r="F20" s="810">
        <v>150000</v>
      </c>
    </row>
    <row r="21" spans="1:6" ht="15.75">
      <c r="A21" s="12" t="s">
        <v>29</v>
      </c>
      <c r="B21" s="99" t="s">
        <v>30</v>
      </c>
      <c r="C21" s="60">
        <v>200000</v>
      </c>
      <c r="D21" s="575"/>
      <c r="E21" s="545">
        <v>200000</v>
      </c>
      <c r="F21" s="810">
        <v>150000</v>
      </c>
    </row>
    <row r="22" spans="1:6" ht="15.75">
      <c r="A22" s="12" t="s">
        <v>31</v>
      </c>
      <c r="B22" s="99" t="s">
        <v>32</v>
      </c>
      <c r="C22" s="60">
        <v>10000</v>
      </c>
      <c r="D22" s="575"/>
      <c r="E22" s="545">
        <v>10000</v>
      </c>
      <c r="F22" s="810">
        <v>5000</v>
      </c>
    </row>
    <row r="23" spans="1:6" ht="15.75">
      <c r="A23" s="140" t="s">
        <v>170</v>
      </c>
      <c r="B23" s="6"/>
      <c r="C23" s="61">
        <f>SUM(C20:C22)</f>
        <v>410000</v>
      </c>
      <c r="D23" s="486">
        <f>SUM(D20:D22)</f>
        <v>0</v>
      </c>
      <c r="E23" s="486">
        <f>SUM(E20:E22)</f>
        <v>410000</v>
      </c>
      <c r="F23" s="486">
        <f>SUM(F20:F22)</f>
        <v>305000</v>
      </c>
    </row>
    <row r="24" spans="1:6" ht="15.75">
      <c r="A24" s="12"/>
      <c r="B24" s="101" t="s">
        <v>35</v>
      </c>
      <c r="C24" s="60"/>
      <c r="D24" s="575"/>
      <c r="E24" s="545"/>
      <c r="F24" s="814"/>
    </row>
    <row r="25" spans="1:6" ht="15.75">
      <c r="A25" s="12" t="s">
        <v>33</v>
      </c>
      <c r="B25" s="99" t="s">
        <v>34</v>
      </c>
      <c r="C25" s="60">
        <v>300000</v>
      </c>
      <c r="D25" s="575"/>
      <c r="E25" s="545">
        <v>300000</v>
      </c>
      <c r="F25" s="810">
        <v>700000</v>
      </c>
    </row>
    <row r="26" spans="1:6" ht="15.75">
      <c r="A26" s="12" t="s">
        <v>36</v>
      </c>
      <c r="B26" s="99" t="s">
        <v>37</v>
      </c>
      <c r="C26" s="60">
        <v>1500000</v>
      </c>
      <c r="D26" s="575"/>
      <c r="E26" s="545">
        <v>1500000</v>
      </c>
      <c r="F26" s="810">
        <v>1000000</v>
      </c>
    </row>
    <row r="27" spans="1:6" ht="15.75">
      <c r="A27" s="12" t="s">
        <v>38</v>
      </c>
      <c r="B27" s="99" t="s">
        <v>39</v>
      </c>
      <c r="C27" s="60">
        <v>1000000</v>
      </c>
      <c r="D27" s="575"/>
      <c r="E27" s="545">
        <v>1000000</v>
      </c>
      <c r="F27" s="810">
        <v>700000</v>
      </c>
    </row>
    <row r="28" spans="1:6" ht="15.75">
      <c r="A28" s="140" t="s">
        <v>170</v>
      </c>
      <c r="B28" s="6"/>
      <c r="C28" s="61">
        <f>SUM(C25:C27)</f>
        <v>2800000</v>
      </c>
      <c r="D28" s="486">
        <f>SUM(D25:D27)</f>
        <v>0</v>
      </c>
      <c r="E28" s="486">
        <f>SUM(E25:E27)</f>
        <v>2800000</v>
      </c>
      <c r="F28" s="486">
        <f>SUM(F25:F27)</f>
        <v>2400000</v>
      </c>
    </row>
    <row r="29" spans="1:6" ht="15.75">
      <c r="A29" s="12"/>
      <c r="B29" s="101" t="s">
        <v>44</v>
      </c>
      <c r="C29" s="60"/>
      <c r="D29" s="575"/>
      <c r="E29" s="545"/>
      <c r="F29" s="814"/>
    </row>
    <row r="30" spans="1:6" ht="15.75">
      <c r="A30" s="12" t="s">
        <v>42</v>
      </c>
      <c r="B30" s="99" t="s">
        <v>43</v>
      </c>
      <c r="C30" s="60">
        <v>300000</v>
      </c>
      <c r="D30" s="575"/>
      <c r="E30" s="545">
        <v>300000</v>
      </c>
      <c r="F30" s="810">
        <v>500000</v>
      </c>
    </row>
    <row r="31" spans="1:6" ht="15.75">
      <c r="A31" s="12" t="s">
        <v>45</v>
      </c>
      <c r="B31" s="99" t="s">
        <v>46</v>
      </c>
      <c r="C31" s="60">
        <v>500000</v>
      </c>
      <c r="D31" s="575"/>
      <c r="E31" s="545">
        <v>500000</v>
      </c>
      <c r="F31" s="810">
        <v>500000</v>
      </c>
    </row>
    <row r="32" spans="1:6" ht="15.75">
      <c r="A32" s="12" t="s">
        <v>47</v>
      </c>
      <c r="B32" s="99" t="s">
        <v>39</v>
      </c>
      <c r="C32" s="60">
        <v>200000</v>
      </c>
      <c r="D32" s="575"/>
      <c r="E32" s="545">
        <v>200000</v>
      </c>
      <c r="F32" s="810">
        <v>500000</v>
      </c>
    </row>
    <row r="33" spans="1:6" ht="15.75">
      <c r="A33" s="140" t="s">
        <v>170</v>
      </c>
      <c r="B33" s="6"/>
      <c r="C33" s="61">
        <f>SUM(C30:C32)</f>
        <v>1000000</v>
      </c>
      <c r="D33" s="486">
        <f>SUM(D30:D32)</f>
        <v>0</v>
      </c>
      <c r="E33" s="486">
        <f>SUM(E30:E32)</f>
        <v>1000000</v>
      </c>
      <c r="F33" s="486">
        <f>SUM(F30:F32)</f>
        <v>1500000</v>
      </c>
    </row>
    <row r="34" spans="1:6" ht="15.75">
      <c r="A34" s="12"/>
      <c r="B34" s="101" t="s">
        <v>50</v>
      </c>
      <c r="C34" s="60"/>
      <c r="D34" s="575"/>
      <c r="E34" s="545"/>
      <c r="F34" s="814"/>
    </row>
    <row r="35" spans="1:6" ht="15.75">
      <c r="A35" s="12" t="s">
        <v>51</v>
      </c>
      <c r="B35" s="99" t="s">
        <v>52</v>
      </c>
      <c r="C35" s="60">
        <v>300000</v>
      </c>
      <c r="D35" s="575"/>
      <c r="E35" s="545">
        <v>300000</v>
      </c>
      <c r="F35" s="810">
        <v>200000</v>
      </c>
    </row>
    <row r="36" spans="1:6" ht="15.75">
      <c r="A36" s="12" t="s">
        <v>53</v>
      </c>
      <c r="B36" s="99" t="s">
        <v>54</v>
      </c>
      <c r="C36" s="60">
        <v>250000</v>
      </c>
      <c r="D36" s="575"/>
      <c r="E36" s="545">
        <v>250000</v>
      </c>
      <c r="F36" s="810">
        <v>50000</v>
      </c>
    </row>
    <row r="37" spans="1:6" ht="15.75">
      <c r="A37" s="12" t="s">
        <v>55</v>
      </c>
      <c r="B37" s="99" t="s">
        <v>56</v>
      </c>
      <c r="C37" s="60">
        <v>500000</v>
      </c>
      <c r="D37" s="575">
        <v>1700000</v>
      </c>
      <c r="E37" s="545">
        <v>500000</v>
      </c>
      <c r="F37" s="810">
        <v>800000</v>
      </c>
    </row>
    <row r="38" spans="1:6" ht="15.75">
      <c r="A38" s="140" t="s">
        <v>170</v>
      </c>
      <c r="B38" s="6"/>
      <c r="C38" s="61">
        <f>SUM(C35:C37)</f>
        <v>1050000</v>
      </c>
      <c r="D38" s="486">
        <f>SUM(D35:D37)</f>
        <v>1700000</v>
      </c>
      <c r="E38" s="486">
        <f>SUM(E35:E37)</f>
        <v>1050000</v>
      </c>
      <c r="F38" s="486">
        <f>SUM(F35:F37)</f>
        <v>1050000</v>
      </c>
    </row>
    <row r="39" spans="1:6" ht="15.75">
      <c r="A39" s="12"/>
      <c r="B39" s="101" t="s">
        <v>68</v>
      </c>
      <c r="C39" s="60"/>
      <c r="D39" s="575"/>
      <c r="E39" s="545"/>
      <c r="F39" s="814"/>
    </row>
    <row r="40" spans="1:6" ht="15.75">
      <c r="A40" s="12" t="s">
        <v>66</v>
      </c>
      <c r="B40" s="99" t="s">
        <v>67</v>
      </c>
      <c r="C40" s="60">
        <v>200000</v>
      </c>
      <c r="D40" s="575"/>
      <c r="E40" s="545">
        <v>200000</v>
      </c>
      <c r="F40" s="810">
        <v>500000</v>
      </c>
    </row>
    <row r="41" spans="1:6" ht="15.75">
      <c r="A41" s="12" t="s">
        <v>75</v>
      </c>
      <c r="B41" s="99" t="s">
        <v>76</v>
      </c>
      <c r="C41" s="60">
        <v>1000000</v>
      </c>
      <c r="D41" s="575"/>
      <c r="E41" s="545">
        <v>1000000</v>
      </c>
      <c r="F41" s="810">
        <v>500000</v>
      </c>
    </row>
    <row r="42" spans="1:6" ht="15.75">
      <c r="A42" s="12" t="s">
        <v>77</v>
      </c>
      <c r="B42" s="99" t="s">
        <v>78</v>
      </c>
      <c r="C42" s="60">
        <v>100000</v>
      </c>
      <c r="D42" s="575"/>
      <c r="E42" s="545">
        <v>100000</v>
      </c>
      <c r="F42" s="810">
        <v>100000</v>
      </c>
    </row>
    <row r="43" spans="1:6" ht="15.75">
      <c r="A43" s="12" t="s">
        <v>80</v>
      </c>
      <c r="B43" s="99" t="s">
        <v>81</v>
      </c>
      <c r="C43" s="60">
        <v>500000</v>
      </c>
      <c r="D43" s="575"/>
      <c r="E43" s="545">
        <v>500000</v>
      </c>
      <c r="F43" s="810">
        <v>200000</v>
      </c>
    </row>
    <row r="44" spans="1:6" ht="15.75">
      <c r="A44" s="140" t="s">
        <v>170</v>
      </c>
      <c r="B44" s="6"/>
      <c r="C44" s="61">
        <f>SUM(C40:C43)</f>
        <v>1800000</v>
      </c>
      <c r="D44" s="486">
        <f>SUM(D40:D43)</f>
        <v>0</v>
      </c>
      <c r="E44" s="486">
        <f>SUM(E40:E43)</f>
        <v>1800000</v>
      </c>
      <c r="F44" s="486">
        <f>SUM(F40:F43)</f>
        <v>1300000</v>
      </c>
    </row>
    <row r="45" spans="1:6" ht="15.75">
      <c r="A45" s="12"/>
      <c r="B45" s="101" t="s">
        <v>84</v>
      </c>
      <c r="C45" s="60"/>
      <c r="D45" s="575"/>
      <c r="E45" s="545"/>
      <c r="F45" s="814"/>
    </row>
    <row r="46" spans="1:6" ht="15.75">
      <c r="A46" s="12" t="s">
        <v>82</v>
      </c>
      <c r="B46" s="99" t="s">
        <v>83</v>
      </c>
      <c r="C46" s="60">
        <v>700000</v>
      </c>
      <c r="D46" s="575"/>
      <c r="E46" s="545">
        <v>700000</v>
      </c>
      <c r="F46" s="810">
        <v>500000</v>
      </c>
    </row>
    <row r="47" spans="1:6" ht="15.75">
      <c r="A47" s="12" t="s">
        <v>85</v>
      </c>
      <c r="B47" s="99" t="s">
        <v>86</v>
      </c>
      <c r="C47" s="60">
        <v>500000</v>
      </c>
      <c r="D47" s="575"/>
      <c r="E47" s="545">
        <v>500000</v>
      </c>
      <c r="F47" s="810">
        <v>500000</v>
      </c>
    </row>
    <row r="48" spans="1:6" ht="15.75">
      <c r="A48" s="12" t="s">
        <v>87</v>
      </c>
      <c r="B48" s="99" t="s">
        <v>407</v>
      </c>
      <c r="C48" s="60">
        <v>1000000</v>
      </c>
      <c r="D48" s="575"/>
      <c r="E48" s="545">
        <v>1000000</v>
      </c>
      <c r="F48" s="810">
        <v>1000000</v>
      </c>
    </row>
    <row r="49" spans="1:6" ht="15.75">
      <c r="A49" s="140" t="s">
        <v>170</v>
      </c>
      <c r="B49" s="6"/>
      <c r="C49" s="61">
        <f>SUM(C46:C48)</f>
        <v>2200000</v>
      </c>
      <c r="D49" s="486">
        <f>SUM(D46:D48)</f>
        <v>0</v>
      </c>
      <c r="E49" s="486">
        <f>SUM(E46:E48)</f>
        <v>2200000</v>
      </c>
      <c r="F49" s="486">
        <f>SUM(F46:F48)</f>
        <v>2000000</v>
      </c>
    </row>
    <row r="50" spans="1:6" ht="15.75">
      <c r="A50" s="12"/>
      <c r="B50" s="101" t="s">
        <v>124</v>
      </c>
      <c r="C50" s="60"/>
      <c r="D50" s="575"/>
      <c r="E50" s="545"/>
      <c r="F50" s="814"/>
    </row>
    <row r="51" spans="1:6" ht="15.75">
      <c r="A51" s="12" t="s">
        <v>122</v>
      </c>
      <c r="B51" s="99" t="s">
        <v>123</v>
      </c>
      <c r="C51" s="60">
        <v>750000</v>
      </c>
      <c r="D51" s="575"/>
      <c r="E51" s="545">
        <v>750000</v>
      </c>
      <c r="F51" s="810">
        <v>500000</v>
      </c>
    </row>
    <row r="52" spans="1:6" ht="15.75">
      <c r="A52" s="12" t="s">
        <v>125</v>
      </c>
      <c r="B52" s="99" t="s">
        <v>126</v>
      </c>
      <c r="C52" s="60">
        <v>300000</v>
      </c>
      <c r="D52" s="575"/>
      <c r="E52" s="545">
        <v>300000</v>
      </c>
      <c r="F52" s="810">
        <v>400000</v>
      </c>
    </row>
    <row r="53" spans="1:6" ht="15.75">
      <c r="A53" s="12" t="s">
        <v>127</v>
      </c>
      <c r="B53" s="99" t="s">
        <v>128</v>
      </c>
      <c r="C53" s="60">
        <v>250000</v>
      </c>
      <c r="D53" s="575"/>
      <c r="E53" s="545">
        <v>250000</v>
      </c>
      <c r="F53" s="810">
        <v>150000</v>
      </c>
    </row>
    <row r="54" spans="1:6" ht="15.75">
      <c r="A54" s="140" t="s">
        <v>170</v>
      </c>
      <c r="B54" s="6"/>
      <c r="C54" s="61">
        <f>SUM(C51:C53)</f>
        <v>1300000</v>
      </c>
      <c r="D54" s="486">
        <f>SUM(D51:D53)</f>
        <v>0</v>
      </c>
      <c r="E54" s="486">
        <f>SUM(E51:E53)</f>
        <v>1300000</v>
      </c>
      <c r="F54" s="486">
        <f>SUM(F51:F53)</f>
        <v>1050000</v>
      </c>
    </row>
    <row r="55" spans="1:6" ht="15.75">
      <c r="A55" s="12"/>
      <c r="B55" s="101" t="s">
        <v>131</v>
      </c>
      <c r="C55" s="60"/>
      <c r="D55" s="575"/>
      <c r="E55" s="545"/>
      <c r="F55" s="814"/>
    </row>
    <row r="56" spans="1:6" ht="15.75">
      <c r="A56" s="12" t="s">
        <v>129</v>
      </c>
      <c r="B56" s="99" t="s">
        <v>130</v>
      </c>
      <c r="C56" s="60">
        <v>600000</v>
      </c>
      <c r="D56" s="575"/>
      <c r="E56" s="545">
        <v>600000</v>
      </c>
      <c r="F56" s="810">
        <v>600000</v>
      </c>
    </row>
    <row r="57" spans="1:6" ht="15.75">
      <c r="A57" s="140" t="s">
        <v>170</v>
      </c>
      <c r="B57" s="6"/>
      <c r="C57" s="61">
        <f>SUM(C56:C56)</f>
        <v>600000</v>
      </c>
      <c r="D57" s="486">
        <f>SUM(D56:D56)</f>
        <v>0</v>
      </c>
      <c r="E57" s="486">
        <f>SUM(E56)</f>
        <v>600000</v>
      </c>
      <c r="F57" s="486">
        <f>SUM(F56)</f>
        <v>600000</v>
      </c>
    </row>
    <row r="58" spans="1:6" ht="15.75">
      <c r="A58" s="12"/>
      <c r="B58" s="101" t="s">
        <v>136</v>
      </c>
      <c r="C58" s="60"/>
      <c r="D58" s="575"/>
      <c r="E58" s="545"/>
      <c r="F58" s="814"/>
    </row>
    <row r="59" spans="1:6" ht="15.75">
      <c r="A59" s="12" t="s">
        <v>139</v>
      </c>
      <c r="B59" s="99" t="s">
        <v>140</v>
      </c>
      <c r="C59" s="60">
        <v>350000</v>
      </c>
      <c r="D59" s="575"/>
      <c r="E59" s="545">
        <f aca="true" t="shared" si="0" ref="E59:E64">C59+D59</f>
        <v>350000</v>
      </c>
      <c r="F59" s="810">
        <v>350000</v>
      </c>
    </row>
    <row r="60" spans="1:6" ht="15.75">
      <c r="A60" s="12" t="s">
        <v>141</v>
      </c>
      <c r="B60" s="99" t="s">
        <v>142</v>
      </c>
      <c r="C60" s="60">
        <v>0</v>
      </c>
      <c r="D60" s="575">
        <v>300000</v>
      </c>
      <c r="E60" s="575">
        <f t="shared" si="0"/>
        <v>300000</v>
      </c>
      <c r="F60" s="810">
        <v>1000000</v>
      </c>
    </row>
    <row r="61" spans="1:6" ht="15.75">
      <c r="A61" s="184">
        <v>3111002</v>
      </c>
      <c r="B61" s="73" t="s">
        <v>408</v>
      </c>
      <c r="C61" s="211">
        <v>750000</v>
      </c>
      <c r="D61" s="575"/>
      <c r="E61" s="575">
        <f t="shared" si="0"/>
        <v>750000</v>
      </c>
      <c r="F61" s="810"/>
    </row>
    <row r="62" spans="1:6" ht="15.75">
      <c r="A62" s="184">
        <v>3111009</v>
      </c>
      <c r="B62" s="73" t="s">
        <v>202</v>
      </c>
      <c r="C62" s="211">
        <v>300000</v>
      </c>
      <c r="D62" s="575"/>
      <c r="E62" s="575">
        <f t="shared" si="0"/>
        <v>300000</v>
      </c>
      <c r="F62" s="810"/>
    </row>
    <row r="63" spans="1:7" ht="15.75">
      <c r="A63" s="184">
        <v>3111001</v>
      </c>
      <c r="B63" s="73" t="s">
        <v>409</v>
      </c>
      <c r="C63" s="211">
        <v>750000</v>
      </c>
      <c r="D63" s="576">
        <f>-750000+500000</f>
        <v>-250000</v>
      </c>
      <c r="E63" s="576">
        <f t="shared" si="0"/>
        <v>500000</v>
      </c>
      <c r="F63" s="810"/>
      <c r="G63" s="504"/>
    </row>
    <row r="64" spans="1:7" ht="15.75">
      <c r="A64" s="184">
        <v>2211320</v>
      </c>
      <c r="B64" s="73" t="s">
        <v>450</v>
      </c>
      <c r="C64" s="211">
        <v>500000</v>
      </c>
      <c r="D64" s="575"/>
      <c r="E64" s="575">
        <f t="shared" si="0"/>
        <v>500000</v>
      </c>
      <c r="F64" s="814">
        <v>800000</v>
      </c>
      <c r="G64" s="504"/>
    </row>
    <row r="65" spans="1:6" s="504" customFormat="1" ht="15.75">
      <c r="A65" s="184"/>
      <c r="B65" s="73" t="s">
        <v>487</v>
      </c>
      <c r="C65" s="211"/>
      <c r="D65" s="575"/>
      <c r="E65" s="575"/>
      <c r="F65" s="814">
        <v>5000000</v>
      </c>
    </row>
    <row r="66" spans="1:7" ht="15.75">
      <c r="A66" s="195" t="s">
        <v>170</v>
      </c>
      <c r="B66" s="123"/>
      <c r="C66" s="212">
        <f>SUM(C59:C64)</f>
        <v>2650000</v>
      </c>
      <c r="D66" s="212">
        <f>SUM(D59:D64)</f>
        <v>50000</v>
      </c>
      <c r="E66" s="212">
        <f>SUM(E59:E65)</f>
        <v>2700000</v>
      </c>
      <c r="F66" s="212">
        <f>SUM(F59:F65)</f>
        <v>7150000</v>
      </c>
      <c r="G66" s="504"/>
    </row>
    <row r="67" spans="1:7" s="98" customFormat="1" ht="15.75">
      <c r="A67" s="12"/>
      <c r="B67" s="101" t="s">
        <v>151</v>
      </c>
      <c r="C67" s="60"/>
      <c r="D67" s="575"/>
      <c r="E67" s="545"/>
      <c r="F67" s="814"/>
      <c r="G67" s="504"/>
    </row>
    <row r="68" spans="1:7" s="98" customFormat="1" ht="15.75">
      <c r="A68" s="12" t="s">
        <v>149</v>
      </c>
      <c r="B68" s="99" t="s">
        <v>150</v>
      </c>
      <c r="C68" s="60">
        <v>700000</v>
      </c>
      <c r="D68" s="575"/>
      <c r="E68" s="545">
        <v>700000</v>
      </c>
      <c r="F68" s="814">
        <v>500000</v>
      </c>
      <c r="G68" s="504"/>
    </row>
    <row r="69" spans="1:7" s="98" customFormat="1" ht="15.75">
      <c r="A69" s="140" t="s">
        <v>170</v>
      </c>
      <c r="B69" s="6"/>
      <c r="C69" s="61">
        <f>SUM(C68:C68)</f>
        <v>700000</v>
      </c>
      <c r="D69" s="486">
        <f>SUM(D68:D68)</f>
        <v>0</v>
      </c>
      <c r="E69" s="486">
        <f>SUM(E68)</f>
        <v>700000</v>
      </c>
      <c r="F69" s="486">
        <f>SUM(F68)</f>
        <v>500000</v>
      </c>
      <c r="G69" s="504"/>
    </row>
    <row r="70" spans="1:7" s="98" customFormat="1" ht="15.75">
      <c r="A70" s="12"/>
      <c r="B70" s="101" t="s">
        <v>154</v>
      </c>
      <c r="C70" s="60"/>
      <c r="D70" s="575"/>
      <c r="E70" s="545"/>
      <c r="F70" s="814"/>
      <c r="G70" s="504"/>
    </row>
    <row r="71" spans="1:7" s="98" customFormat="1" ht="15.75">
      <c r="A71" s="12" t="s">
        <v>155</v>
      </c>
      <c r="B71" s="99" t="s">
        <v>156</v>
      </c>
      <c r="C71" s="60">
        <v>100000</v>
      </c>
      <c r="D71" s="575"/>
      <c r="E71" s="545">
        <f>C71+D71</f>
        <v>100000</v>
      </c>
      <c r="F71" s="814"/>
      <c r="G71" s="504"/>
    </row>
    <row r="72" spans="1:6" s="504" customFormat="1" ht="15.75">
      <c r="A72" s="506"/>
      <c r="B72" s="56" t="s">
        <v>1065</v>
      </c>
      <c r="C72" s="508"/>
      <c r="D72" s="575">
        <v>1500000</v>
      </c>
      <c r="E72" s="575">
        <f>C72+D72</f>
        <v>1500000</v>
      </c>
      <c r="F72" s="810"/>
    </row>
    <row r="73" spans="1:6" s="504" customFormat="1" ht="15.75">
      <c r="A73" s="129" t="s">
        <v>157</v>
      </c>
      <c r="B73" s="505" t="s">
        <v>158</v>
      </c>
      <c r="C73" s="508"/>
      <c r="D73" s="575">
        <v>3000000</v>
      </c>
      <c r="E73" s="575">
        <f>C73+D73</f>
        <v>3000000</v>
      </c>
      <c r="F73" s="810">
        <v>2500000</v>
      </c>
    </row>
    <row r="74" spans="1:6" s="504" customFormat="1" ht="15.75">
      <c r="A74" s="506" t="s">
        <v>159</v>
      </c>
      <c r="B74" s="505" t="s">
        <v>1064</v>
      </c>
      <c r="C74" s="508"/>
      <c r="D74" s="575">
        <v>1500000</v>
      </c>
      <c r="E74" s="575">
        <f>C74+D74</f>
        <v>1500000</v>
      </c>
      <c r="F74" s="810">
        <v>1000000</v>
      </c>
    </row>
    <row r="75" spans="1:7" s="98" customFormat="1" ht="15.75">
      <c r="A75" s="506" t="s">
        <v>159</v>
      </c>
      <c r="B75" s="505" t="s">
        <v>1032</v>
      </c>
      <c r="C75" s="60">
        <v>0</v>
      </c>
      <c r="D75" s="575">
        <v>1000000</v>
      </c>
      <c r="E75" s="575">
        <f>C75+D75</f>
        <v>1000000</v>
      </c>
      <c r="F75" s="810">
        <v>1000000</v>
      </c>
      <c r="G75" s="504"/>
    </row>
    <row r="76" spans="1:7" s="98" customFormat="1" ht="15.75">
      <c r="A76" s="140" t="s">
        <v>170</v>
      </c>
      <c r="B76" s="6"/>
      <c r="C76" s="61">
        <f>SUM(C71:C75)</f>
        <v>100000</v>
      </c>
      <c r="D76" s="486">
        <f>SUM(D71:D75)</f>
        <v>7000000</v>
      </c>
      <c r="E76" s="486">
        <f>SUM(E71:E75)</f>
        <v>7100000</v>
      </c>
      <c r="F76" s="486">
        <f>SUM(F71:F75)</f>
        <v>4500000</v>
      </c>
      <c r="G76" s="504"/>
    </row>
    <row r="77" spans="1:7" s="2" customFormat="1" ht="15.75">
      <c r="A77" s="215"/>
      <c r="B77" s="205" t="s">
        <v>768</v>
      </c>
      <c r="C77" s="213">
        <f>SUM(C76,C69,C66,C57,C54,C49,C44,C38,C33,C28,C23,C18)</f>
        <v>15910000</v>
      </c>
      <c r="D77" s="563">
        <f>SUM(D76,D69,D66,D57,D54,D49,D44,D38,D33,D28,D23,D18)</f>
        <v>9600000</v>
      </c>
      <c r="E77" s="563">
        <f>SUM(E76,E69,E66,E57,E54,E49,E44,E38,E33,E28,E23,E18)</f>
        <v>23810000</v>
      </c>
      <c r="F77" s="563">
        <f>SUM(F76,F69,F66,F57,F54,F49,F44,F38,F33,F28,F23,F18)</f>
        <v>24305000</v>
      </c>
      <c r="G77" s="504"/>
    </row>
    <row r="78" spans="1:7" s="2" customFormat="1" ht="15.75">
      <c r="A78" s="215"/>
      <c r="B78" s="205" t="s">
        <v>687</v>
      </c>
      <c r="C78" s="213">
        <f>SUM(C77,C13)</f>
        <v>52065252</v>
      </c>
      <c r="D78" s="563">
        <f>SUM(D77,D13)</f>
        <v>9600000</v>
      </c>
      <c r="E78" s="563">
        <f>SUM(E77,E13)</f>
        <v>59965252</v>
      </c>
      <c r="F78" s="563">
        <f>SUM(F77,F13)</f>
        <v>61906460</v>
      </c>
      <c r="G78" s="504"/>
    </row>
    <row r="79" spans="1:7" ht="15.75">
      <c r="A79" s="183">
        <v>11302</v>
      </c>
      <c r="B79" s="183" t="s">
        <v>748</v>
      </c>
      <c r="C79" s="198"/>
      <c r="D79" s="575"/>
      <c r="E79" s="545"/>
      <c r="F79" s="814"/>
      <c r="G79" s="504"/>
    </row>
    <row r="80" spans="1:7" ht="15.75">
      <c r="A80" s="12" t="s">
        <v>33</v>
      </c>
      <c r="B80" s="99" t="s">
        <v>34</v>
      </c>
      <c r="C80" s="211">
        <v>150000</v>
      </c>
      <c r="D80" s="575">
        <v>250000</v>
      </c>
      <c r="E80" s="545">
        <f aca="true" t="shared" si="1" ref="E80:E85">C80+D80</f>
        <v>400000</v>
      </c>
      <c r="F80" s="810">
        <v>450000</v>
      </c>
      <c r="G80" s="504"/>
    </row>
    <row r="81" spans="1:6" ht="15.75">
      <c r="A81" s="85" t="s">
        <v>36</v>
      </c>
      <c r="B81" s="56" t="s">
        <v>37</v>
      </c>
      <c r="C81" s="211">
        <v>900000</v>
      </c>
      <c r="D81" s="576">
        <f>5000000-500000-500000</f>
        <v>4000000</v>
      </c>
      <c r="E81" s="576">
        <f t="shared" si="1"/>
        <v>4900000</v>
      </c>
      <c r="F81" s="810">
        <v>2500000</v>
      </c>
    </row>
    <row r="82" spans="1:6" ht="15.75">
      <c r="A82" s="12" t="s">
        <v>38</v>
      </c>
      <c r="B82" s="99" t="s">
        <v>39</v>
      </c>
      <c r="C82" s="211">
        <v>750000</v>
      </c>
      <c r="D82" s="575">
        <v>4000000</v>
      </c>
      <c r="E82" s="575">
        <f t="shared" si="1"/>
        <v>4750000</v>
      </c>
      <c r="F82" s="810">
        <v>1500000</v>
      </c>
    </row>
    <row r="83" spans="1:6" ht="15.75">
      <c r="A83" s="12" t="s">
        <v>82</v>
      </c>
      <c r="B83" s="99" t="s">
        <v>83</v>
      </c>
      <c r="C83" s="211">
        <v>350000</v>
      </c>
      <c r="D83" s="575"/>
      <c r="E83" s="575">
        <f t="shared" si="1"/>
        <v>350000</v>
      </c>
      <c r="F83" s="810">
        <v>250000</v>
      </c>
    </row>
    <row r="84" spans="1:6" ht="15.75">
      <c r="A84" s="12" t="s">
        <v>85</v>
      </c>
      <c r="B84" s="99" t="s">
        <v>86</v>
      </c>
      <c r="C84" s="211">
        <v>200000</v>
      </c>
      <c r="D84" s="575"/>
      <c r="E84" s="575">
        <f t="shared" si="1"/>
        <v>200000</v>
      </c>
      <c r="F84" s="810">
        <v>400000</v>
      </c>
    </row>
    <row r="85" spans="1:6" ht="15.75">
      <c r="A85" s="12" t="s">
        <v>122</v>
      </c>
      <c r="B85" s="99" t="s">
        <v>123</v>
      </c>
      <c r="C85" s="211">
        <v>100000</v>
      </c>
      <c r="D85" s="575">
        <v>250000</v>
      </c>
      <c r="E85" s="575">
        <f t="shared" si="1"/>
        <v>350000</v>
      </c>
      <c r="F85" s="810">
        <v>500000</v>
      </c>
    </row>
    <row r="86" spans="1:6" ht="15.75">
      <c r="A86" s="140" t="s">
        <v>170</v>
      </c>
      <c r="B86" s="6" t="s">
        <v>846</v>
      </c>
      <c r="C86" s="213">
        <f>SUM(C80:C85)</f>
        <v>2450000</v>
      </c>
      <c r="D86" s="213">
        <f>SUM(D80:D85)</f>
        <v>8500000</v>
      </c>
      <c r="E86" s="213">
        <f>SUM(E80:E85)</f>
        <v>10950000</v>
      </c>
      <c r="F86" s="213">
        <f>SUM(F80:F85)</f>
        <v>5600000</v>
      </c>
    </row>
    <row r="87" spans="1:6" s="694" customFormat="1" ht="15.75" hidden="1">
      <c r="A87" s="179">
        <v>3100000</v>
      </c>
      <c r="B87" s="64" t="s">
        <v>763</v>
      </c>
      <c r="C87" s="251"/>
      <c r="D87" s="576"/>
      <c r="E87" s="576"/>
      <c r="F87" s="814"/>
    </row>
    <row r="88" spans="1:6" s="694" customFormat="1" ht="15.75" hidden="1">
      <c r="A88" s="171">
        <v>3110599</v>
      </c>
      <c r="B88" s="732" t="s">
        <v>865</v>
      </c>
      <c r="C88" s="733" t="e">
        <f>'PROJECTS DETAILS'!#REF!</f>
        <v>#REF!</v>
      </c>
      <c r="D88" s="576" t="e">
        <f>'PROJECTS DETAILS'!#REF!</f>
        <v>#REF!</v>
      </c>
      <c r="E88" s="576">
        <v>13027840</v>
      </c>
      <c r="F88" s="814"/>
    </row>
    <row r="89" spans="1:6" s="694" customFormat="1" ht="15.75" hidden="1">
      <c r="A89" s="734" t="s">
        <v>659</v>
      </c>
      <c r="B89" s="43" t="s">
        <v>660</v>
      </c>
      <c r="C89" s="162" t="e">
        <f>SUM('PROJECTS DETAILS'!#REF!)</f>
        <v>#REF!</v>
      </c>
      <c r="D89" s="576"/>
      <c r="E89" s="576">
        <v>6500000</v>
      </c>
      <c r="F89" s="814"/>
    </row>
    <row r="90" spans="1:6" s="694" customFormat="1" ht="15.75" hidden="1">
      <c r="A90" s="728" t="s">
        <v>659</v>
      </c>
      <c r="B90" s="43" t="s">
        <v>867</v>
      </c>
      <c r="C90" s="162" t="e">
        <f>SUM('PROJECTS DETAILS'!#REF!)</f>
        <v>#REF!</v>
      </c>
      <c r="D90" s="576" t="e">
        <f>'PROJECTS DETAILS'!#REF!</f>
        <v>#REF!</v>
      </c>
      <c r="E90" s="576">
        <v>2500000</v>
      </c>
      <c r="F90" s="814"/>
    </row>
    <row r="91" spans="1:6" s="694" customFormat="1" ht="15.75" hidden="1">
      <c r="A91" s="151"/>
      <c r="B91" s="43" t="s">
        <v>866</v>
      </c>
      <c r="C91" s="162" t="e">
        <f>SUM('PROJECTS DETAILS'!#REF!)</f>
        <v>#REF!</v>
      </c>
      <c r="D91" s="576"/>
      <c r="E91" s="576">
        <v>4000000</v>
      </c>
      <c r="F91" s="814"/>
    </row>
    <row r="92" spans="1:6" s="694" customFormat="1" ht="15.75" hidden="1">
      <c r="A92" s="151"/>
      <c r="B92" s="164" t="s">
        <v>864</v>
      </c>
      <c r="C92" s="162" t="e">
        <f>'PROJECTS DETAILS'!#REF!</f>
        <v>#REF!</v>
      </c>
      <c r="D92" s="576"/>
      <c r="E92" s="576">
        <v>4100000</v>
      </c>
      <c r="F92" s="814"/>
    </row>
    <row r="93" spans="1:6" s="2" customFormat="1" ht="15.75" hidden="1">
      <c r="A93" s="140"/>
      <c r="B93" s="6" t="s">
        <v>847</v>
      </c>
      <c r="C93" s="212" t="e">
        <f>SUM(C88:C92)</f>
        <v>#REF!</v>
      </c>
      <c r="D93" s="562" t="e">
        <f>SUM(D88:D92)</f>
        <v>#REF!</v>
      </c>
      <c r="E93" s="562">
        <f>SUM(E88:E92)</f>
        <v>30127840</v>
      </c>
      <c r="F93" s="562">
        <f>SUM(F88:F92)</f>
        <v>0</v>
      </c>
    </row>
    <row r="94" spans="1:6" s="2" customFormat="1" ht="15.75">
      <c r="A94" s="291"/>
      <c r="B94" s="6" t="s">
        <v>848</v>
      </c>
      <c r="C94" s="212" t="e">
        <f>SUM(C93,C86)</f>
        <v>#REF!</v>
      </c>
      <c r="D94" s="212" t="e">
        <f>SUM(D93,D86)</f>
        <v>#REF!</v>
      </c>
      <c r="E94" s="212">
        <f>SUM(E93,E86)</f>
        <v>41077840</v>
      </c>
      <c r="F94" s="212">
        <f>SUM(F93,F86)</f>
        <v>5600000</v>
      </c>
    </row>
    <row r="95" spans="1:6" ht="15.75">
      <c r="A95" s="183">
        <v>11303</v>
      </c>
      <c r="B95" s="183" t="s">
        <v>749</v>
      </c>
      <c r="C95" s="198"/>
      <c r="D95" s="575"/>
      <c r="E95" s="545"/>
      <c r="F95" s="814"/>
    </row>
    <row r="96" spans="1:6" ht="15.75">
      <c r="A96" s="12" t="s">
        <v>26</v>
      </c>
      <c r="B96" s="99" t="s">
        <v>27</v>
      </c>
      <c r="C96" s="211">
        <v>100000</v>
      </c>
      <c r="D96" s="575"/>
      <c r="E96" s="545">
        <v>100000</v>
      </c>
      <c r="F96" s="810">
        <v>100000</v>
      </c>
    </row>
    <row r="97" spans="1:6" ht="15.75">
      <c r="A97" s="12" t="s">
        <v>33</v>
      </c>
      <c r="B97" s="99" t="s">
        <v>34</v>
      </c>
      <c r="C97" s="211">
        <v>200000</v>
      </c>
      <c r="D97" s="575"/>
      <c r="E97" s="545">
        <v>200000</v>
      </c>
      <c r="F97" s="810">
        <v>1000000</v>
      </c>
    </row>
    <row r="98" spans="1:6" ht="15.75">
      <c r="A98" s="12" t="s">
        <v>36</v>
      </c>
      <c r="B98" s="99" t="s">
        <v>37</v>
      </c>
      <c r="C98" s="211">
        <v>4500000</v>
      </c>
      <c r="D98" s="575"/>
      <c r="E98" s="545">
        <v>4500000</v>
      </c>
      <c r="F98" s="810">
        <v>1000000</v>
      </c>
    </row>
    <row r="99" spans="1:6" ht="15.75">
      <c r="A99" s="12" t="s">
        <v>38</v>
      </c>
      <c r="B99" s="99" t="s">
        <v>39</v>
      </c>
      <c r="C99" s="211">
        <v>2500000</v>
      </c>
      <c r="D99" s="575"/>
      <c r="E99" s="545">
        <v>2500000</v>
      </c>
      <c r="F99" s="810">
        <v>1200000</v>
      </c>
    </row>
    <row r="100" spans="1:6" ht="15.75">
      <c r="A100" s="12" t="s">
        <v>82</v>
      </c>
      <c r="B100" s="99" t="s">
        <v>83</v>
      </c>
      <c r="C100" s="211">
        <v>200000</v>
      </c>
      <c r="D100" s="575"/>
      <c r="E100" s="545">
        <v>200000</v>
      </c>
      <c r="F100" s="810">
        <v>200000</v>
      </c>
    </row>
    <row r="101" spans="1:6" ht="15.75">
      <c r="A101" s="12" t="s">
        <v>85</v>
      </c>
      <c r="B101" s="99" t="s">
        <v>86</v>
      </c>
      <c r="C101" s="211">
        <v>200000</v>
      </c>
      <c r="D101" s="575"/>
      <c r="E101" s="545">
        <v>200000</v>
      </c>
      <c r="F101" s="810">
        <v>600000</v>
      </c>
    </row>
    <row r="102" spans="1:6" s="392" customFormat="1" ht="15.75">
      <c r="A102" s="206">
        <v>2211004</v>
      </c>
      <c r="B102" s="54" t="s">
        <v>961</v>
      </c>
      <c r="C102" s="211">
        <v>500000</v>
      </c>
      <c r="D102" s="575"/>
      <c r="E102" s="545">
        <v>500000</v>
      </c>
      <c r="F102" s="810"/>
    </row>
    <row r="103" spans="1:6" ht="15.75">
      <c r="A103" s="12">
        <v>2210807</v>
      </c>
      <c r="B103" s="99" t="s">
        <v>410</v>
      </c>
      <c r="C103" s="211">
        <v>35603</v>
      </c>
      <c r="D103" s="575"/>
      <c r="E103" s="545">
        <v>35603</v>
      </c>
      <c r="F103" s="810" t="s">
        <v>1104</v>
      </c>
    </row>
    <row r="104" spans="1:6" ht="15.75">
      <c r="A104" s="12">
        <v>2210604</v>
      </c>
      <c r="B104" s="99" t="s">
        <v>65</v>
      </c>
      <c r="C104" s="211">
        <v>200000</v>
      </c>
      <c r="D104" s="575"/>
      <c r="E104" s="545">
        <v>200000</v>
      </c>
      <c r="F104" s="810">
        <v>300000</v>
      </c>
    </row>
    <row r="105" spans="1:6" ht="15.75">
      <c r="A105" s="85">
        <v>2211305</v>
      </c>
      <c r="B105" s="73" t="s">
        <v>138</v>
      </c>
      <c r="C105" s="211">
        <v>200000</v>
      </c>
      <c r="D105" s="575"/>
      <c r="E105" s="545">
        <v>200000</v>
      </c>
      <c r="F105" s="810">
        <v>0</v>
      </c>
    </row>
    <row r="106" spans="1:6" ht="15.75">
      <c r="A106" s="85">
        <v>2211016</v>
      </c>
      <c r="B106" s="73" t="s">
        <v>411</v>
      </c>
      <c r="C106" s="211">
        <v>5200000</v>
      </c>
      <c r="D106" s="497">
        <v>2500000</v>
      </c>
      <c r="E106" s="545">
        <v>8200000</v>
      </c>
      <c r="F106" s="810">
        <v>4500000</v>
      </c>
    </row>
    <row r="107" spans="1:6" ht="15.75">
      <c r="A107" s="140" t="s">
        <v>170</v>
      </c>
      <c r="B107" s="6" t="s">
        <v>843</v>
      </c>
      <c r="C107" s="61">
        <f>SUM(C96:C106)</f>
        <v>13835603</v>
      </c>
      <c r="D107" s="486">
        <f>SUM(D96:D106)</f>
        <v>2500000</v>
      </c>
      <c r="E107" s="486">
        <f>SUM(E96:E106)</f>
        <v>16835603</v>
      </c>
      <c r="F107" s="486">
        <f>SUM(F96:F106)</f>
        <v>8900000</v>
      </c>
    </row>
    <row r="108" spans="1:6" s="2" customFormat="1" ht="15.75" hidden="1">
      <c r="A108" s="179">
        <v>310000</v>
      </c>
      <c r="B108" s="64" t="s">
        <v>763</v>
      </c>
      <c r="C108" s="104"/>
      <c r="D108" s="576"/>
      <c r="E108" s="546"/>
      <c r="F108" s="814"/>
    </row>
    <row r="109" spans="1:6" s="2" customFormat="1" ht="15.75" hidden="1">
      <c r="A109" s="151">
        <v>3110599</v>
      </c>
      <c r="B109" s="312" t="s">
        <v>838</v>
      </c>
      <c r="C109" s="63" t="e">
        <f>'PROJECTS DETAILS'!#REF!</f>
        <v>#REF!</v>
      </c>
      <c r="D109" s="576" t="e">
        <f>'PROJECTS DETAILS'!#REF!</f>
        <v>#REF!</v>
      </c>
      <c r="E109" s="546">
        <v>105000000</v>
      </c>
      <c r="F109" s="814"/>
    </row>
    <row r="110" spans="1:6" s="2" customFormat="1" ht="15.75" hidden="1">
      <c r="A110" s="151">
        <v>3110599</v>
      </c>
      <c r="B110" s="312" t="s">
        <v>839</v>
      </c>
      <c r="C110" s="63" t="e">
        <f>SUM('PROJECTS DETAILS'!#REF!)</f>
        <v>#REF!</v>
      </c>
      <c r="D110" s="576" t="e">
        <f>'PROJECTS DETAILS'!#REF!</f>
        <v>#REF!</v>
      </c>
      <c r="E110" s="546">
        <v>29487540</v>
      </c>
      <c r="F110" s="814"/>
    </row>
    <row r="111" spans="1:6" s="2" customFormat="1" ht="15.75" hidden="1">
      <c r="A111" s="291"/>
      <c r="B111" s="6" t="s">
        <v>845</v>
      </c>
      <c r="C111" s="138" t="e">
        <f>SUM(C109:C110)</f>
        <v>#REF!</v>
      </c>
      <c r="D111" s="495" t="e">
        <f>SUM(D109:D110)</f>
        <v>#REF!</v>
      </c>
      <c r="E111" s="495">
        <f>SUM(E109:E110)</f>
        <v>134487540</v>
      </c>
      <c r="F111" s="495">
        <f>SUM(F109:F110)</f>
        <v>0</v>
      </c>
    </row>
    <row r="112" spans="1:6" s="2" customFormat="1" ht="15.75">
      <c r="A112" s="313"/>
      <c r="B112" s="6" t="s">
        <v>844</v>
      </c>
      <c r="C112" s="138" t="e">
        <f>SUM(C111,C107)</f>
        <v>#REF!</v>
      </c>
      <c r="D112" s="495" t="e">
        <f>SUM(D111,D107)</f>
        <v>#REF!</v>
      </c>
      <c r="E112" s="495">
        <f>SUM(E111,E107)</f>
        <v>151323143</v>
      </c>
      <c r="F112" s="495">
        <f>SUM(F111,F107)</f>
        <v>8900000</v>
      </c>
    </row>
    <row r="113" spans="1:6" ht="15.75">
      <c r="A113" s="196">
        <v>11304</v>
      </c>
      <c r="B113" s="196" t="s">
        <v>750</v>
      </c>
      <c r="C113" s="132"/>
      <c r="D113" s="575"/>
      <c r="E113" s="545"/>
      <c r="F113" s="814"/>
    </row>
    <row r="114" spans="1:6" ht="15.75">
      <c r="A114" s="189">
        <v>2210301</v>
      </c>
      <c r="B114" s="124" t="s">
        <v>34</v>
      </c>
      <c r="C114" s="214">
        <v>200000</v>
      </c>
      <c r="D114" s="575"/>
      <c r="E114" s="545">
        <v>200000</v>
      </c>
      <c r="F114" s="810">
        <v>500000</v>
      </c>
    </row>
    <row r="115" spans="1:6" s="98" customFormat="1" ht="15.75">
      <c r="A115" s="12" t="s">
        <v>36</v>
      </c>
      <c r="B115" s="99" t="s">
        <v>37</v>
      </c>
      <c r="C115" s="214">
        <v>1000000</v>
      </c>
      <c r="D115" s="575"/>
      <c r="E115" s="545">
        <v>1000000</v>
      </c>
      <c r="F115" s="810">
        <v>1000000</v>
      </c>
    </row>
    <row r="116" spans="1:6" s="98" customFormat="1" ht="15.75">
      <c r="A116" s="189">
        <v>2210303</v>
      </c>
      <c r="B116" s="124" t="s">
        <v>39</v>
      </c>
      <c r="C116" s="214">
        <v>1000000</v>
      </c>
      <c r="D116" s="575"/>
      <c r="E116" s="545">
        <v>1000000</v>
      </c>
      <c r="F116" s="810">
        <v>1000000</v>
      </c>
    </row>
    <row r="117" spans="1:6" ht="15.75">
      <c r="A117" s="189">
        <v>2210801</v>
      </c>
      <c r="B117" s="124" t="s">
        <v>83</v>
      </c>
      <c r="C117" s="214">
        <v>300000</v>
      </c>
      <c r="D117" s="575"/>
      <c r="E117" s="545">
        <v>300000</v>
      </c>
      <c r="F117" s="810">
        <v>500000</v>
      </c>
    </row>
    <row r="118" spans="1:6" ht="15.75">
      <c r="A118" s="189">
        <v>2210802</v>
      </c>
      <c r="B118" s="124" t="s">
        <v>86</v>
      </c>
      <c r="C118" s="214">
        <v>200000</v>
      </c>
      <c r="D118" s="575"/>
      <c r="E118" s="545">
        <v>200000</v>
      </c>
      <c r="F118" s="810">
        <v>300000</v>
      </c>
    </row>
    <row r="119" spans="1:6" ht="15.75">
      <c r="A119" s="197" t="s">
        <v>170</v>
      </c>
      <c r="B119" s="6" t="s">
        <v>840</v>
      </c>
      <c r="C119" s="61">
        <f>SUM(C114:C118)</f>
        <v>2700000</v>
      </c>
      <c r="D119" s="486">
        <f>SUM(D114:D118)</f>
        <v>0</v>
      </c>
      <c r="E119" s="486">
        <f>SUM(E114:E118)</f>
        <v>2700000</v>
      </c>
      <c r="F119" s="486">
        <f>SUM(F114:F118)</f>
        <v>3300000</v>
      </c>
    </row>
    <row r="120" spans="1:6" s="694" customFormat="1" ht="15.75" hidden="1">
      <c r="A120" s="179">
        <v>310000</v>
      </c>
      <c r="B120" s="64" t="s">
        <v>763</v>
      </c>
      <c r="C120" s="104"/>
      <c r="D120" s="576"/>
      <c r="E120" s="576"/>
      <c r="F120" s="814"/>
    </row>
    <row r="121" spans="1:6" s="694" customFormat="1" ht="15.75" hidden="1">
      <c r="A121" s="151">
        <v>2210714</v>
      </c>
      <c r="B121" s="43" t="s">
        <v>664</v>
      </c>
      <c r="C121" s="162" t="e">
        <f>'PROJECTS DETAILS'!#REF!</f>
        <v>#REF!</v>
      </c>
      <c r="D121" s="576" t="e">
        <f>'PROJECTS DETAILS'!#REF!</f>
        <v>#REF!</v>
      </c>
      <c r="E121" s="576">
        <v>0</v>
      </c>
      <c r="F121" s="814"/>
    </row>
    <row r="122" spans="1:6" s="694" customFormat="1" ht="15.75" hidden="1">
      <c r="A122" s="151">
        <v>2210714</v>
      </c>
      <c r="B122" s="43" t="s">
        <v>665</v>
      </c>
      <c r="C122" s="162" t="e">
        <f>'PROJECTS DETAILS'!#REF!</f>
        <v>#REF!</v>
      </c>
      <c r="D122" s="576" t="e">
        <f>'PROJECTS DETAILS'!#REF!</f>
        <v>#REF!</v>
      </c>
      <c r="E122" s="576">
        <v>0</v>
      </c>
      <c r="F122" s="814"/>
    </row>
    <row r="123" spans="1:6" s="694" customFormat="1" ht="15.75" hidden="1">
      <c r="A123" s="151">
        <v>2640505</v>
      </c>
      <c r="B123" s="43" t="s">
        <v>666</v>
      </c>
      <c r="C123" s="162" t="e">
        <f>'PROJECTS DETAILS'!#REF!</f>
        <v>#REF!</v>
      </c>
      <c r="D123" s="576" t="e">
        <f>'PROJECTS DETAILS'!#REF!</f>
        <v>#REF!</v>
      </c>
      <c r="E123" s="576">
        <v>0</v>
      </c>
      <c r="F123" s="814"/>
    </row>
    <row r="124" spans="1:6" s="2" customFormat="1" ht="15.75" hidden="1">
      <c r="A124" s="140"/>
      <c r="B124" s="292" t="s">
        <v>841</v>
      </c>
      <c r="C124" s="138" t="e">
        <f>SUM(C121:C123)</f>
        <v>#REF!</v>
      </c>
      <c r="D124" s="138" t="e">
        <f>SUM(D121:D123)</f>
        <v>#REF!</v>
      </c>
      <c r="E124" s="138">
        <f>SUM(E121:E123)</f>
        <v>0</v>
      </c>
      <c r="F124" s="138">
        <f>SUM(F121:F123)</f>
        <v>0</v>
      </c>
    </row>
    <row r="125" spans="1:6" s="2" customFormat="1" ht="15.75">
      <c r="A125" s="313"/>
      <c r="B125" s="292" t="s">
        <v>842</v>
      </c>
      <c r="C125" s="138" t="e">
        <f>SUM(C124,C119)</f>
        <v>#REF!</v>
      </c>
      <c r="D125" s="138" t="e">
        <f>SUM(D124,D119)</f>
        <v>#REF!</v>
      </c>
      <c r="E125" s="138">
        <f>SUM(E124,E119)</f>
        <v>2700000</v>
      </c>
      <c r="F125" s="138">
        <f>SUM(F124,F119)</f>
        <v>3300000</v>
      </c>
    </row>
    <row r="126" spans="1:6" ht="15.75">
      <c r="A126" s="140"/>
      <c r="B126" s="140" t="s">
        <v>171</v>
      </c>
      <c r="C126" s="61">
        <f>SUM(C119,C107,C86,C77)</f>
        <v>34895603</v>
      </c>
      <c r="D126" s="61">
        <f>SUM(D119,D107,D86,D77)</f>
        <v>20600000</v>
      </c>
      <c r="E126" s="61">
        <f>SUM(E125,E107,E86,E77)</f>
        <v>54295603</v>
      </c>
      <c r="F126" s="61">
        <f>SUM(F125,F107,F86,F77)</f>
        <v>42105000</v>
      </c>
    </row>
    <row r="127" spans="1:6" ht="15.75">
      <c r="A127" s="140"/>
      <c r="B127" s="140" t="s">
        <v>784</v>
      </c>
      <c r="C127" s="61">
        <f>C13+C126</f>
        <v>71050855</v>
      </c>
      <c r="D127" s="61">
        <f>D13+D126</f>
        <v>20600000</v>
      </c>
      <c r="E127" s="61">
        <f>SUM(E126,E13)</f>
        <v>90450855</v>
      </c>
      <c r="F127" s="61">
        <f>SUM(F126,F13)</f>
        <v>79706460</v>
      </c>
    </row>
    <row r="128" spans="1:6" ht="15.75">
      <c r="A128" s="298"/>
      <c r="B128" s="6" t="s">
        <v>787</v>
      </c>
      <c r="C128" s="138" t="e">
        <f>SUM(C124,C111,C93)</f>
        <v>#REF!</v>
      </c>
      <c r="D128" s="138" t="e">
        <f>SUM(D124,D111,D93)</f>
        <v>#REF!</v>
      </c>
      <c r="E128" s="138">
        <f>SUM(E124,E111,E93,)</f>
        <v>164615380</v>
      </c>
      <c r="F128" s="138">
        <f>SUM(F124,F111,F93,)</f>
        <v>0</v>
      </c>
    </row>
    <row r="129" spans="1:6" ht="15.75">
      <c r="A129" s="298"/>
      <c r="B129" s="6" t="s">
        <v>790</v>
      </c>
      <c r="C129" s="138" t="e">
        <f>SUM(C127:C128)</f>
        <v>#REF!</v>
      </c>
      <c r="D129" s="138" t="e">
        <f>SUM(D127:D128)</f>
        <v>#REF!</v>
      </c>
      <c r="E129" s="138">
        <f>SUM(E127:E128)</f>
        <v>255066235</v>
      </c>
      <c r="F129" s="138">
        <f>SUM(F127:F128)</f>
        <v>79706460</v>
      </c>
    </row>
    <row r="130" spans="1:3" ht="15.75">
      <c r="A130" s="298"/>
      <c r="B130" s="299"/>
      <c r="C130" s="137"/>
    </row>
    <row r="131" spans="1:3" ht="15.75">
      <c r="A131" s="298"/>
      <c r="B131" s="299"/>
      <c r="C131" s="137"/>
    </row>
  </sheetData>
  <sheetProtection/>
  <mergeCells count="2">
    <mergeCell ref="A1:C1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3" r:id="rId1"/>
  <rowBreaks count="1" manualBreakCount="1">
    <brk id="58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113"/>
  <sheetViews>
    <sheetView view="pageBreakPreview" zoomScale="120" zoomScaleNormal="150" zoomScaleSheetLayoutView="120" zoomScalePageLayoutView="0" workbookViewId="0" topLeftCell="A1">
      <pane ySplit="2" topLeftCell="A96" activePane="bottomLeft" state="frozen"/>
      <selection pane="topLeft" activeCell="A1" sqref="A1"/>
      <selection pane="bottomLeft" activeCell="A103" sqref="A103:IV106"/>
    </sheetView>
  </sheetViews>
  <sheetFormatPr defaultColWidth="9.140625" defaultRowHeight="15"/>
  <cols>
    <col min="1" max="1" width="10.8515625" style="181" customWidth="1"/>
    <col min="2" max="2" width="47.421875" style="0" customWidth="1"/>
    <col min="3" max="3" width="16.7109375" style="68" hidden="1" customWidth="1"/>
    <col min="4" max="4" width="16.421875" style="519" hidden="1" customWidth="1"/>
    <col min="5" max="5" width="21.00390625" style="544" bestFit="1" customWidth="1"/>
    <col min="6" max="6" width="21.140625" style="826" customWidth="1"/>
  </cols>
  <sheetData>
    <row r="1" spans="1:3" ht="15.75">
      <c r="A1" s="921" t="s">
        <v>390</v>
      </c>
      <c r="B1" s="928"/>
      <c r="C1" s="60"/>
    </row>
    <row r="2" spans="1:6" s="21" customFormat="1" ht="59.25" customHeight="1">
      <c r="A2" s="904" t="s">
        <v>168</v>
      </c>
      <c r="B2" s="923"/>
      <c r="C2" s="192" t="s">
        <v>996</v>
      </c>
      <c r="D2" s="490" t="s">
        <v>995</v>
      </c>
      <c r="E2" s="561" t="s">
        <v>997</v>
      </c>
      <c r="F2" s="812" t="s">
        <v>1068</v>
      </c>
    </row>
    <row r="3" spans="1:6" s="21" customFormat="1" ht="15.75">
      <c r="A3" s="200">
        <v>11401</v>
      </c>
      <c r="B3" s="200" t="s">
        <v>680</v>
      </c>
      <c r="C3" s="192"/>
      <c r="D3" s="520"/>
      <c r="E3" s="520"/>
      <c r="F3" s="827"/>
    </row>
    <row r="4" spans="1:6" s="21" customFormat="1" ht="15.75">
      <c r="A4" s="200">
        <v>2100000</v>
      </c>
      <c r="B4" s="200" t="s">
        <v>678</v>
      </c>
      <c r="C4" s="192"/>
      <c r="D4" s="520"/>
      <c r="E4" s="520"/>
      <c r="F4" s="827"/>
    </row>
    <row r="5" spans="1:6" ht="15.75">
      <c r="A5" s="135"/>
      <c r="B5" s="101" t="s">
        <v>2</v>
      </c>
      <c r="C5" s="60"/>
      <c r="D5" s="518"/>
      <c r="E5" s="545"/>
      <c r="F5" s="828"/>
    </row>
    <row r="6" spans="1:6" ht="15.75">
      <c r="A6" s="12" t="s">
        <v>0</v>
      </c>
      <c r="B6" s="5" t="s">
        <v>1</v>
      </c>
      <c r="C6" s="60">
        <v>27052558</v>
      </c>
      <c r="D6" s="518"/>
      <c r="E6" s="545">
        <f>C6+D6</f>
        <v>27052558</v>
      </c>
      <c r="F6" s="485">
        <v>28754345</v>
      </c>
    </row>
    <row r="7" spans="1:6" ht="15.75">
      <c r="A7" s="140" t="s">
        <v>170</v>
      </c>
      <c r="B7" s="6"/>
      <c r="C7" s="61">
        <f>SUM(C6)</f>
        <v>27052558</v>
      </c>
      <c r="D7" s="486">
        <f>SUM(D6)</f>
        <v>0</v>
      </c>
      <c r="E7" s="486">
        <f>SUM(E6)</f>
        <v>27052558</v>
      </c>
      <c r="F7" s="486">
        <f>SUM(F6)</f>
        <v>28754345</v>
      </c>
    </row>
    <row r="8" spans="1:6" ht="15.75">
      <c r="A8" s="12"/>
      <c r="B8" s="101" t="s">
        <v>5</v>
      </c>
      <c r="C8" s="60"/>
      <c r="D8" s="518"/>
      <c r="E8" s="545"/>
      <c r="F8" s="828"/>
    </row>
    <row r="9" spans="1:6" ht="15.75">
      <c r="A9" s="12" t="s">
        <v>3</v>
      </c>
      <c r="B9" s="99" t="s">
        <v>4</v>
      </c>
      <c r="C9" s="128">
        <v>12183179</v>
      </c>
      <c r="D9" s="518"/>
      <c r="E9" s="545">
        <f>C9+D9</f>
        <v>12183179</v>
      </c>
      <c r="F9" s="485">
        <v>12183179</v>
      </c>
    </row>
    <row r="10" spans="1:6" ht="15.75">
      <c r="A10" s="12" t="s">
        <v>10</v>
      </c>
      <c r="B10" s="99" t="s">
        <v>11</v>
      </c>
      <c r="C10" s="128">
        <v>2987635</v>
      </c>
      <c r="D10" s="518"/>
      <c r="E10" s="545">
        <f>C10+D10</f>
        <v>2987635</v>
      </c>
      <c r="F10" s="485">
        <v>2987635</v>
      </c>
    </row>
    <row r="11" spans="1:6" ht="15.75">
      <c r="A11" s="12" t="s">
        <v>12</v>
      </c>
      <c r="B11" s="99" t="s">
        <v>13</v>
      </c>
      <c r="C11" s="128">
        <v>321300</v>
      </c>
      <c r="D11" s="518"/>
      <c r="E11" s="545">
        <f>C11+D11</f>
        <v>321300</v>
      </c>
      <c r="F11" s="485">
        <v>321300</v>
      </c>
    </row>
    <row r="12" spans="1:6" ht="15.75">
      <c r="A12" s="140" t="s">
        <v>170</v>
      </c>
      <c r="B12" s="6"/>
      <c r="C12" s="61">
        <f>SUM(C9:C11)</f>
        <v>15492114</v>
      </c>
      <c r="D12" s="486">
        <f>SUM(D9:D11)</f>
        <v>0</v>
      </c>
      <c r="E12" s="486">
        <f>SUM(E9:E11)</f>
        <v>15492114</v>
      </c>
      <c r="F12" s="486">
        <f>SUM(F9:F11)</f>
        <v>15492114</v>
      </c>
    </row>
    <row r="13" spans="1:6" ht="15.75">
      <c r="A13" s="140" t="s">
        <v>173</v>
      </c>
      <c r="B13" s="6"/>
      <c r="C13" s="61">
        <f>SUM(C7,C12)</f>
        <v>42544672</v>
      </c>
      <c r="D13" s="486">
        <f>SUM(D7,D12)</f>
        <v>0</v>
      </c>
      <c r="E13" s="486">
        <f>SUM(E7,E12)</f>
        <v>42544672</v>
      </c>
      <c r="F13" s="486">
        <f>SUM(F7,F12)</f>
        <v>44246459</v>
      </c>
    </row>
    <row r="14" spans="1:6" s="2" customFormat="1" ht="15.75">
      <c r="A14" s="202">
        <v>2200000</v>
      </c>
      <c r="B14" s="64" t="s">
        <v>679</v>
      </c>
      <c r="C14" s="104"/>
      <c r="D14" s="522"/>
      <c r="E14" s="546"/>
      <c r="F14" s="828"/>
    </row>
    <row r="15" spans="1:6" ht="15.75">
      <c r="A15" s="12"/>
      <c r="B15" s="101" t="s">
        <v>21</v>
      </c>
      <c r="C15" s="60"/>
      <c r="D15" s="518"/>
      <c r="E15" s="545"/>
      <c r="F15" s="828"/>
    </row>
    <row r="16" spans="1:6" ht="15.75">
      <c r="A16" s="12" t="s">
        <v>19</v>
      </c>
      <c r="B16" s="99" t="s">
        <v>20</v>
      </c>
      <c r="C16" s="63">
        <v>1000000</v>
      </c>
      <c r="D16" s="518">
        <v>10000000</v>
      </c>
      <c r="E16" s="545">
        <f>C16+D16</f>
        <v>11000000</v>
      </c>
      <c r="F16" s="485">
        <v>11000000</v>
      </c>
    </row>
    <row r="17" spans="1:6" ht="15.75">
      <c r="A17" s="12" t="s">
        <v>22</v>
      </c>
      <c r="B17" s="99" t="s">
        <v>23</v>
      </c>
      <c r="C17" s="60">
        <v>100000</v>
      </c>
      <c r="D17" s="518"/>
      <c r="E17" s="545">
        <f>C17+D17</f>
        <v>100000</v>
      </c>
      <c r="F17" s="828"/>
    </row>
    <row r="18" spans="1:6" ht="15.75">
      <c r="A18" s="140" t="s">
        <v>170</v>
      </c>
      <c r="B18" s="6"/>
      <c r="C18" s="61">
        <f>SUM(C16:C17)</f>
        <v>1100000</v>
      </c>
      <c r="D18" s="486">
        <f>SUM(D16:D17)</f>
        <v>10000000</v>
      </c>
      <c r="E18" s="486">
        <f>SUM(E16:E17)</f>
        <v>11100000</v>
      </c>
      <c r="F18" s="486">
        <f>SUM(F16:F17)</f>
        <v>11000000</v>
      </c>
    </row>
    <row r="19" spans="1:6" ht="15.75">
      <c r="A19" s="12"/>
      <c r="B19" s="101" t="s">
        <v>28</v>
      </c>
      <c r="C19" s="60"/>
      <c r="D19" s="518"/>
      <c r="E19" s="545"/>
      <c r="F19" s="828"/>
    </row>
    <row r="20" spans="1:6" ht="15.75">
      <c r="A20" s="12" t="s">
        <v>26</v>
      </c>
      <c r="B20" s="99" t="s">
        <v>27</v>
      </c>
      <c r="C20" s="63">
        <v>100000</v>
      </c>
      <c r="D20" s="518"/>
      <c r="E20" s="545">
        <f>C20+D20</f>
        <v>100000</v>
      </c>
      <c r="F20" s="828">
        <v>96000</v>
      </c>
    </row>
    <row r="21" spans="1:6" ht="15.75">
      <c r="A21" s="140" t="s">
        <v>170</v>
      </c>
      <c r="B21" s="6"/>
      <c r="C21" s="61">
        <f>SUM(C20:C20)</f>
        <v>100000</v>
      </c>
      <c r="D21" s="486">
        <f>SUM(D20:D20)</f>
        <v>0</v>
      </c>
      <c r="E21" s="486">
        <f>SUM(E20:E20)</f>
        <v>100000</v>
      </c>
      <c r="F21" s="486">
        <f>SUM(F20:F20)</f>
        <v>96000</v>
      </c>
    </row>
    <row r="22" spans="1:6" ht="15.75">
      <c r="A22" s="12"/>
      <c r="B22" s="101" t="s">
        <v>35</v>
      </c>
      <c r="C22" s="60"/>
      <c r="D22" s="518"/>
      <c r="E22" s="545"/>
      <c r="F22" s="828"/>
    </row>
    <row r="23" spans="1:6" ht="15.75">
      <c r="A23" s="12" t="s">
        <v>33</v>
      </c>
      <c r="B23" s="99" t="s">
        <v>34</v>
      </c>
      <c r="C23" s="63">
        <v>200000</v>
      </c>
      <c r="D23" s="518"/>
      <c r="E23" s="545">
        <f>C23+D23</f>
        <v>200000</v>
      </c>
      <c r="F23" s="485">
        <v>168000</v>
      </c>
    </row>
    <row r="24" spans="1:6" ht="15.75">
      <c r="A24" s="12" t="s">
        <v>36</v>
      </c>
      <c r="B24" s="99" t="s">
        <v>37</v>
      </c>
      <c r="C24" s="63">
        <v>200000</v>
      </c>
      <c r="D24" s="518"/>
      <c r="E24" s="545">
        <f>C24+D24</f>
        <v>200000</v>
      </c>
      <c r="F24" s="485">
        <v>700000</v>
      </c>
    </row>
    <row r="25" spans="1:6" ht="15.75">
      <c r="A25" s="12" t="s">
        <v>38</v>
      </c>
      <c r="B25" s="99" t="s">
        <v>39</v>
      </c>
      <c r="C25" s="63">
        <v>200000</v>
      </c>
      <c r="D25" s="518"/>
      <c r="E25" s="545">
        <f>C25+D25</f>
        <v>200000</v>
      </c>
      <c r="F25" s="485">
        <v>360000</v>
      </c>
    </row>
    <row r="26" spans="1:6" ht="15.75">
      <c r="A26" s="12" t="s">
        <v>412</v>
      </c>
      <c r="B26" s="99" t="s">
        <v>413</v>
      </c>
      <c r="C26" s="63">
        <v>200000</v>
      </c>
      <c r="D26" s="518"/>
      <c r="E26" s="545">
        <f>C26+D26</f>
        <v>200000</v>
      </c>
      <c r="F26" s="485">
        <v>400000</v>
      </c>
    </row>
    <row r="27" spans="1:6" ht="15.75">
      <c r="A27" s="12" t="s">
        <v>414</v>
      </c>
      <c r="B27" s="99" t="s">
        <v>415</v>
      </c>
      <c r="C27" s="63">
        <v>200000</v>
      </c>
      <c r="D27" s="518"/>
      <c r="E27" s="545">
        <f>C27+D27</f>
        <v>200000</v>
      </c>
      <c r="F27" s="828"/>
    </row>
    <row r="28" spans="1:6" ht="15.75">
      <c r="A28" s="140" t="s">
        <v>170</v>
      </c>
      <c r="B28" s="6"/>
      <c r="C28" s="61">
        <f>SUM(C23:C27)</f>
        <v>1000000</v>
      </c>
      <c r="D28" s="486">
        <f>SUM(D23:D27)</f>
        <v>0</v>
      </c>
      <c r="E28" s="486">
        <f>SUM(E23:E27)</f>
        <v>1000000</v>
      </c>
      <c r="F28" s="486">
        <f>SUM(F23:F27)</f>
        <v>1628000</v>
      </c>
    </row>
    <row r="29" spans="1:6" ht="15.75">
      <c r="A29" s="12"/>
      <c r="B29" s="101" t="s">
        <v>44</v>
      </c>
      <c r="C29" s="60"/>
      <c r="D29" s="518"/>
      <c r="E29" s="545"/>
      <c r="F29" s="828"/>
    </row>
    <row r="30" spans="1:6" ht="15.75">
      <c r="A30" s="12" t="s">
        <v>42</v>
      </c>
      <c r="B30" s="99" t="s">
        <v>43</v>
      </c>
      <c r="C30" s="63">
        <v>100000</v>
      </c>
      <c r="D30" s="518"/>
      <c r="E30" s="545">
        <f>C30+D30</f>
        <v>100000</v>
      </c>
      <c r="F30" s="487">
        <v>100000</v>
      </c>
    </row>
    <row r="31" spans="1:6" ht="15.75">
      <c r="A31" s="12" t="s">
        <v>45</v>
      </c>
      <c r="B31" s="99" t="s">
        <v>46</v>
      </c>
      <c r="C31" s="63">
        <v>100000</v>
      </c>
      <c r="D31" s="518"/>
      <c r="E31" s="545">
        <f>C31+D31</f>
        <v>100000</v>
      </c>
      <c r="F31" s="487">
        <v>100000</v>
      </c>
    </row>
    <row r="32" spans="1:6" ht="15.75">
      <c r="A32" s="12" t="s">
        <v>47</v>
      </c>
      <c r="B32" s="99" t="s">
        <v>39</v>
      </c>
      <c r="C32" s="63">
        <v>100000</v>
      </c>
      <c r="D32" s="518"/>
      <c r="E32" s="545">
        <f>C32+D32</f>
        <v>100000</v>
      </c>
      <c r="F32" s="487">
        <v>100000</v>
      </c>
    </row>
    <row r="33" spans="1:6" ht="15.75">
      <c r="A33" s="12" t="s">
        <v>48</v>
      </c>
      <c r="B33" s="99" t="s">
        <v>49</v>
      </c>
      <c r="C33" s="63">
        <v>100000</v>
      </c>
      <c r="D33" s="518"/>
      <c r="E33" s="545">
        <f>C33+D33</f>
        <v>100000</v>
      </c>
      <c r="F33" s="487">
        <v>100000</v>
      </c>
    </row>
    <row r="34" spans="1:6" ht="15.75">
      <c r="A34" s="140" t="s">
        <v>170</v>
      </c>
      <c r="B34" s="6"/>
      <c r="C34" s="61">
        <f>SUM(C30:C33)</f>
        <v>400000</v>
      </c>
      <c r="D34" s="486">
        <f>SUM(D30:D33)</f>
        <v>0</v>
      </c>
      <c r="E34" s="486">
        <f>SUM(E30:E33)</f>
        <v>400000</v>
      </c>
      <c r="F34" s="486">
        <f>SUM(F30:F33)</f>
        <v>400000</v>
      </c>
    </row>
    <row r="35" spans="1:6" ht="15.75">
      <c r="A35" s="12"/>
      <c r="B35" s="101" t="s">
        <v>59</v>
      </c>
      <c r="C35" s="60"/>
      <c r="D35" s="518"/>
      <c r="E35" s="545"/>
      <c r="F35" s="828"/>
    </row>
    <row r="36" spans="1:6" ht="15.75">
      <c r="A36" s="12" t="s">
        <v>416</v>
      </c>
      <c r="B36" s="99" t="s">
        <v>417</v>
      </c>
      <c r="C36" s="63">
        <v>1000000</v>
      </c>
      <c r="D36" s="518"/>
      <c r="E36" s="545">
        <f>C36+D36</f>
        <v>1000000</v>
      </c>
      <c r="F36" s="828">
        <v>1000000</v>
      </c>
    </row>
    <row r="37" spans="1:6" ht="15.75">
      <c r="A37" s="140" t="s">
        <v>170</v>
      </c>
      <c r="B37" s="6"/>
      <c r="C37" s="61">
        <f>SUM(C36:C36)</f>
        <v>1000000</v>
      </c>
      <c r="D37" s="486">
        <f>SUM(D36:D36)</f>
        <v>0</v>
      </c>
      <c r="E37" s="486">
        <f>SUM(E36:E36)</f>
        <v>1000000</v>
      </c>
      <c r="F37" s="486">
        <f>SUM(F36:F36)</f>
        <v>1000000</v>
      </c>
    </row>
    <row r="38" spans="1:6" ht="15.75">
      <c r="A38" s="12"/>
      <c r="B38" s="101" t="s">
        <v>68</v>
      </c>
      <c r="C38" s="60"/>
      <c r="D38" s="518"/>
      <c r="E38" s="545"/>
      <c r="F38" s="828"/>
    </row>
    <row r="39" spans="1:6" ht="15.75">
      <c r="A39" s="12" t="s">
        <v>66</v>
      </c>
      <c r="B39" s="99" t="s">
        <v>67</v>
      </c>
      <c r="C39" s="63">
        <v>50000</v>
      </c>
      <c r="D39" s="518"/>
      <c r="E39" s="545">
        <f>C39+D39</f>
        <v>50000</v>
      </c>
      <c r="F39" s="825">
        <v>24000</v>
      </c>
    </row>
    <row r="40" spans="1:6" ht="15.75">
      <c r="A40" s="12" t="s">
        <v>69</v>
      </c>
      <c r="B40" s="99" t="s">
        <v>70</v>
      </c>
      <c r="C40" s="63">
        <v>50000</v>
      </c>
      <c r="D40" s="518"/>
      <c r="E40" s="545">
        <f>C40+D40</f>
        <v>50000</v>
      </c>
      <c r="F40" s="825"/>
    </row>
    <row r="41" spans="1:6" ht="15.75">
      <c r="A41" s="12" t="s">
        <v>75</v>
      </c>
      <c r="B41" s="99" t="s">
        <v>76</v>
      </c>
      <c r="C41" s="63">
        <v>100000</v>
      </c>
      <c r="D41" s="518"/>
      <c r="E41" s="545">
        <f>C41+D41</f>
        <v>100000</v>
      </c>
      <c r="F41" s="825">
        <v>300000</v>
      </c>
    </row>
    <row r="42" spans="1:6" ht="15.75">
      <c r="A42" s="12" t="s">
        <v>77</v>
      </c>
      <c r="B42" s="99" t="s">
        <v>78</v>
      </c>
      <c r="C42" s="63">
        <v>100000</v>
      </c>
      <c r="D42" s="518"/>
      <c r="E42" s="545">
        <f>C42+D42</f>
        <v>100000</v>
      </c>
      <c r="F42" s="828"/>
    </row>
    <row r="43" spans="1:6" ht="15.75">
      <c r="A43" s="140" t="s">
        <v>170</v>
      </c>
      <c r="B43" s="6"/>
      <c r="C43" s="61">
        <f>SUM(C39:C42)</f>
        <v>300000</v>
      </c>
      <c r="D43" s="486">
        <f>SUM(D39:D42)</f>
        <v>0</v>
      </c>
      <c r="E43" s="486">
        <f>SUM(E39:E42)</f>
        <v>300000</v>
      </c>
      <c r="F43" s="486">
        <f>SUM(F39:F42)</f>
        <v>324000</v>
      </c>
    </row>
    <row r="44" spans="1:6" ht="15.75">
      <c r="A44" s="12"/>
      <c r="B44" s="101" t="s">
        <v>101</v>
      </c>
      <c r="C44" s="60"/>
      <c r="D44" s="518"/>
      <c r="E44" s="545"/>
      <c r="F44" s="828"/>
    </row>
    <row r="45" spans="1:6" ht="15.75">
      <c r="A45" s="12" t="s">
        <v>418</v>
      </c>
      <c r="B45" s="99" t="s">
        <v>419</v>
      </c>
      <c r="C45" s="63">
        <v>250000</v>
      </c>
      <c r="D45" s="518"/>
      <c r="E45" s="545">
        <f>C45+D45</f>
        <v>250000</v>
      </c>
      <c r="F45" s="306">
        <v>170000</v>
      </c>
    </row>
    <row r="46" spans="1:6" ht="15.75">
      <c r="A46" s="12" t="s">
        <v>116</v>
      </c>
      <c r="B46" s="99" t="s">
        <v>117</v>
      </c>
      <c r="C46" s="63">
        <v>250000</v>
      </c>
      <c r="D46" s="518"/>
      <c r="E46" s="545">
        <f>C46+D46</f>
        <v>250000</v>
      </c>
      <c r="F46" s="306">
        <v>200000</v>
      </c>
    </row>
    <row r="47" spans="1:6" ht="15.75">
      <c r="A47" s="140" t="s">
        <v>170</v>
      </c>
      <c r="B47" s="6"/>
      <c r="C47" s="61">
        <f>SUM(C45:C46)</f>
        <v>500000</v>
      </c>
      <c r="D47" s="486">
        <f>SUM(D45:D46)</f>
        <v>0</v>
      </c>
      <c r="E47" s="486">
        <f>SUM(E45:E46)</f>
        <v>500000</v>
      </c>
      <c r="F47" s="486">
        <f>SUM(F45:F46)</f>
        <v>370000</v>
      </c>
    </row>
    <row r="48" spans="1:6" ht="15.75">
      <c r="A48" s="12"/>
      <c r="B48" s="101" t="s">
        <v>124</v>
      </c>
      <c r="C48" s="60"/>
      <c r="D48" s="518"/>
      <c r="E48" s="545"/>
      <c r="F48" s="828"/>
    </row>
    <row r="49" spans="1:6" ht="15.75">
      <c r="A49" s="12" t="s">
        <v>122</v>
      </c>
      <c r="B49" s="99" t="s">
        <v>123</v>
      </c>
      <c r="C49" s="63">
        <v>150000</v>
      </c>
      <c r="D49" s="518"/>
      <c r="E49" s="545">
        <f>C49+D49</f>
        <v>150000</v>
      </c>
      <c r="F49" s="485">
        <v>92000</v>
      </c>
    </row>
    <row r="50" spans="1:6" ht="15.75">
      <c r="A50" s="12" t="s">
        <v>125</v>
      </c>
      <c r="B50" s="99" t="s">
        <v>126</v>
      </c>
      <c r="C50" s="211">
        <v>100000</v>
      </c>
      <c r="D50" s="518"/>
      <c r="E50" s="545">
        <f>C50+D50</f>
        <v>100000</v>
      </c>
      <c r="F50" s="485">
        <v>400000</v>
      </c>
    </row>
    <row r="51" spans="1:6" ht="15.75">
      <c r="A51" s="12" t="s">
        <v>127</v>
      </c>
      <c r="B51" s="99" t="s">
        <v>128</v>
      </c>
      <c r="C51" s="63">
        <v>129603</v>
      </c>
      <c r="D51" s="518"/>
      <c r="E51" s="545">
        <f>C51+D51</f>
        <v>129603</v>
      </c>
      <c r="F51" s="485">
        <v>70000</v>
      </c>
    </row>
    <row r="52" spans="1:6" ht="15.75">
      <c r="A52" s="140" t="s">
        <v>170</v>
      </c>
      <c r="B52" s="6"/>
      <c r="C52" s="61">
        <f>SUM(C49:C51)</f>
        <v>379603</v>
      </c>
      <c r="D52" s="486">
        <f>SUM(D49:D51)</f>
        <v>0</v>
      </c>
      <c r="E52" s="486">
        <f>SUM(E49:E51)</f>
        <v>379603</v>
      </c>
      <c r="F52" s="486">
        <f>SUM(F49:F51)</f>
        <v>562000</v>
      </c>
    </row>
    <row r="53" spans="1:6" ht="15.75">
      <c r="A53" s="12"/>
      <c r="B53" s="101" t="s">
        <v>131</v>
      </c>
      <c r="C53" s="60"/>
      <c r="D53" s="518"/>
      <c r="E53" s="545"/>
      <c r="F53" s="828"/>
    </row>
    <row r="54" spans="1:6" ht="15.75">
      <c r="A54" s="12" t="s">
        <v>129</v>
      </c>
      <c r="B54" s="99" t="s">
        <v>130</v>
      </c>
      <c r="C54" s="63">
        <v>1500000</v>
      </c>
      <c r="D54" s="518">
        <v>500000</v>
      </c>
      <c r="E54" s="545">
        <f>C54+D54</f>
        <v>2000000</v>
      </c>
      <c r="F54" s="828">
        <v>1500000</v>
      </c>
    </row>
    <row r="55" spans="1:6" ht="15.75">
      <c r="A55" s="140" t="s">
        <v>170</v>
      </c>
      <c r="B55" s="6"/>
      <c r="C55" s="61">
        <f>SUM(C54:C54)</f>
        <v>1500000</v>
      </c>
      <c r="D55" s="486">
        <f>SUM(D54:D54)</f>
        <v>500000</v>
      </c>
      <c r="E55" s="486">
        <f>SUM(E54:E54)</f>
        <v>2000000</v>
      </c>
      <c r="F55" s="486">
        <f>SUM(F54:F54)</f>
        <v>1500000</v>
      </c>
    </row>
    <row r="56" spans="1:6" ht="15.75">
      <c r="A56" s="12"/>
      <c r="B56" s="101" t="s">
        <v>136</v>
      </c>
      <c r="C56" s="60"/>
      <c r="D56" s="518"/>
      <c r="E56" s="545"/>
      <c r="F56" s="828"/>
    </row>
    <row r="57" spans="1:6" s="98" customFormat="1" ht="15.75">
      <c r="A57" s="12" t="s">
        <v>141</v>
      </c>
      <c r="B57" s="120" t="s">
        <v>880</v>
      </c>
      <c r="C57" s="60">
        <v>10000000</v>
      </c>
      <c r="D57" s="518">
        <v>-10000000</v>
      </c>
      <c r="E57" s="545">
        <f aca="true" t="shared" si="0" ref="E57:E64">C57+D57</f>
        <v>0</v>
      </c>
      <c r="F57" s="828"/>
    </row>
    <row r="58" spans="1:6" ht="15.75">
      <c r="A58" s="12" t="s">
        <v>134</v>
      </c>
      <c r="B58" s="99" t="s">
        <v>135</v>
      </c>
      <c r="C58" s="60">
        <v>50000</v>
      </c>
      <c r="D58" s="518"/>
      <c r="E58" s="545">
        <f t="shared" si="0"/>
        <v>50000</v>
      </c>
      <c r="F58" s="485">
        <v>50000</v>
      </c>
    </row>
    <row r="59" spans="1:6" ht="15.75">
      <c r="A59" s="12">
        <v>3110701</v>
      </c>
      <c r="B59" s="99" t="s">
        <v>990</v>
      </c>
      <c r="C59" s="63">
        <v>5500000</v>
      </c>
      <c r="D59" s="518">
        <v>-5500000</v>
      </c>
      <c r="E59" s="545">
        <f t="shared" si="0"/>
        <v>0</v>
      </c>
      <c r="F59" s="485">
        <v>5000000</v>
      </c>
    </row>
    <row r="60" spans="1:6" s="504" customFormat="1" ht="15.75">
      <c r="A60" s="506" t="s">
        <v>137</v>
      </c>
      <c r="B60" s="505" t="s">
        <v>1037</v>
      </c>
      <c r="C60" s="63"/>
      <c r="D60" s="545">
        <v>600000</v>
      </c>
      <c r="E60" s="545">
        <f t="shared" si="0"/>
        <v>600000</v>
      </c>
      <c r="F60" s="828">
        <v>1200000</v>
      </c>
    </row>
    <row r="61" spans="1:6" s="504" customFormat="1" ht="15.75">
      <c r="A61" s="505" t="s">
        <v>143</v>
      </c>
      <c r="B61" s="56" t="s">
        <v>1125</v>
      </c>
      <c r="C61" s="63"/>
      <c r="D61" s="808"/>
      <c r="E61" s="808"/>
      <c r="F61" s="828">
        <v>20000000</v>
      </c>
    </row>
    <row r="62" spans="1:6" s="504" customFormat="1" ht="15.75">
      <c r="A62" s="506">
        <v>3111001</v>
      </c>
      <c r="B62" s="505" t="s">
        <v>200</v>
      </c>
      <c r="C62" s="63"/>
      <c r="D62" s="497">
        <v>4888000</v>
      </c>
      <c r="E62" s="545">
        <f t="shared" si="0"/>
        <v>4888000</v>
      </c>
      <c r="F62" s="828"/>
    </row>
    <row r="63" spans="1:6" ht="15.75">
      <c r="A63" s="12" t="s">
        <v>137</v>
      </c>
      <c r="B63" s="99" t="s">
        <v>138</v>
      </c>
      <c r="C63" s="63">
        <v>18000000</v>
      </c>
      <c r="D63" s="518">
        <v>2000000</v>
      </c>
      <c r="E63" s="545">
        <f t="shared" si="0"/>
        <v>20000000</v>
      </c>
      <c r="F63" s="828">
        <v>18000000</v>
      </c>
    </row>
    <row r="64" spans="1:6" ht="15.75">
      <c r="A64" s="12" t="s">
        <v>420</v>
      </c>
      <c r="B64" s="99" t="s">
        <v>421</v>
      </c>
      <c r="C64" s="60">
        <v>200000</v>
      </c>
      <c r="D64" s="518"/>
      <c r="E64" s="545">
        <f t="shared" si="0"/>
        <v>200000</v>
      </c>
      <c r="F64" s="828"/>
    </row>
    <row r="65" spans="1:6" ht="15.75">
      <c r="A65" s="140" t="s">
        <v>170</v>
      </c>
      <c r="B65" s="6"/>
      <c r="C65" s="61">
        <f>SUM(C57:C64)</f>
        <v>33750000</v>
      </c>
      <c r="D65" s="486">
        <f>SUM(D57:D64)</f>
        <v>-8012000</v>
      </c>
      <c r="E65" s="486">
        <f>SUM(E57:E64)</f>
        <v>25738000</v>
      </c>
      <c r="F65" s="486">
        <f>SUM(F57:F64)</f>
        <v>44250000</v>
      </c>
    </row>
    <row r="66" spans="1:6" ht="15.75">
      <c r="A66" s="12"/>
      <c r="B66" s="101" t="s">
        <v>151</v>
      </c>
      <c r="C66" s="60"/>
      <c r="D66" s="518"/>
      <c r="E66" s="545"/>
      <c r="F66" s="828"/>
    </row>
    <row r="67" spans="1:6" ht="15.75">
      <c r="A67" s="12" t="s">
        <v>149</v>
      </c>
      <c r="B67" s="99" t="s">
        <v>150</v>
      </c>
      <c r="C67" s="63">
        <v>1500000</v>
      </c>
      <c r="D67" s="518"/>
      <c r="E67" s="545">
        <f>C67+D67</f>
        <v>1500000</v>
      </c>
      <c r="F67" s="828">
        <v>1500000</v>
      </c>
    </row>
    <row r="68" spans="1:6" ht="15.75">
      <c r="A68" s="140" t="s">
        <v>170</v>
      </c>
      <c r="B68" s="6"/>
      <c r="C68" s="61">
        <f>SUM(C67:C67)</f>
        <v>1500000</v>
      </c>
      <c r="D68" s="486">
        <f>SUM(D67:D67)</f>
        <v>0</v>
      </c>
      <c r="E68" s="486">
        <f>SUM(E67:E67)</f>
        <v>1500000</v>
      </c>
      <c r="F68" s="486">
        <f>SUM(F67:F67)</f>
        <v>1500000</v>
      </c>
    </row>
    <row r="69" spans="1:6" ht="15.75">
      <c r="A69" s="12"/>
      <c r="B69" s="101" t="s">
        <v>154</v>
      </c>
      <c r="C69" s="60"/>
      <c r="D69" s="518"/>
      <c r="E69" s="545"/>
      <c r="F69" s="828"/>
    </row>
    <row r="70" spans="1:6" ht="15.75">
      <c r="A70" s="12" t="s">
        <v>152</v>
      </c>
      <c r="B70" s="99" t="s">
        <v>153</v>
      </c>
      <c r="C70" s="63">
        <v>1500000</v>
      </c>
      <c r="D70" s="518">
        <v>400000</v>
      </c>
      <c r="E70" s="545">
        <f>C70+D70</f>
        <v>1900000</v>
      </c>
      <c r="F70" s="485">
        <v>1600000</v>
      </c>
    </row>
    <row r="71" spans="1:6" ht="15.75">
      <c r="A71" s="12" t="s">
        <v>159</v>
      </c>
      <c r="B71" s="99" t="s">
        <v>160</v>
      </c>
      <c r="C71" s="63">
        <v>1500000</v>
      </c>
      <c r="D71" s="518"/>
      <c r="E71" s="545">
        <f>C71+D71</f>
        <v>1500000</v>
      </c>
      <c r="F71" s="828">
        <v>1200000</v>
      </c>
    </row>
    <row r="72" spans="1:6" ht="15.75">
      <c r="A72" s="140" t="s">
        <v>170</v>
      </c>
      <c r="B72" s="14"/>
      <c r="C72" s="61">
        <f>SUM(C70:C71)</f>
        <v>3000000</v>
      </c>
      <c r="D72" s="486">
        <f>SUM(D70:D71)</f>
        <v>400000</v>
      </c>
      <c r="E72" s="486">
        <f>SUM(E70:E71)</f>
        <v>3400000</v>
      </c>
      <c r="F72" s="486">
        <f>SUM(F70:F71)</f>
        <v>2800000</v>
      </c>
    </row>
    <row r="73" spans="1:6" ht="15.75">
      <c r="A73" s="191" t="s">
        <v>422</v>
      </c>
      <c r="B73" s="59"/>
      <c r="C73" s="194"/>
      <c r="D73" s="533"/>
      <c r="E73" s="533"/>
      <c r="F73" s="828"/>
    </row>
    <row r="74" spans="1:6" ht="15.75">
      <c r="A74" s="12"/>
      <c r="B74" s="101" t="s">
        <v>35</v>
      </c>
      <c r="C74" s="104"/>
      <c r="D74" s="518"/>
      <c r="E74" s="545"/>
      <c r="F74" s="828"/>
    </row>
    <row r="75" spans="1:6" ht="15.75">
      <c r="A75" s="12" t="s">
        <v>33</v>
      </c>
      <c r="B75" s="99" t="s">
        <v>34</v>
      </c>
      <c r="C75" s="63">
        <v>100000</v>
      </c>
      <c r="D75" s="518"/>
      <c r="E75" s="545">
        <f>C75+D75</f>
        <v>100000</v>
      </c>
      <c r="F75" s="487">
        <v>100000</v>
      </c>
    </row>
    <row r="76" spans="1:6" ht="15.75">
      <c r="A76" s="12" t="s">
        <v>36</v>
      </c>
      <c r="B76" s="99" t="s">
        <v>37</v>
      </c>
      <c r="C76" s="63">
        <v>500000</v>
      </c>
      <c r="D76" s="518"/>
      <c r="E76" s="545">
        <f>C76+D76</f>
        <v>500000</v>
      </c>
      <c r="F76" s="487">
        <v>1000000</v>
      </c>
    </row>
    <row r="77" spans="1:6" ht="15.75">
      <c r="A77" s="12" t="s">
        <v>38</v>
      </c>
      <c r="B77" s="99" t="s">
        <v>39</v>
      </c>
      <c r="C77" s="63">
        <v>500000</v>
      </c>
      <c r="D77" s="518"/>
      <c r="E77" s="545">
        <f>C77+D77</f>
        <v>500000</v>
      </c>
      <c r="F77" s="487">
        <v>300000</v>
      </c>
    </row>
    <row r="78" spans="1:6" ht="15.75">
      <c r="A78" s="12"/>
      <c r="B78" s="101" t="s">
        <v>84</v>
      </c>
      <c r="C78" s="63"/>
      <c r="D78" s="518"/>
      <c r="E78" s="545"/>
      <c r="F78" s="828"/>
    </row>
    <row r="79" spans="1:6" ht="15.75">
      <c r="A79" s="85" t="s">
        <v>82</v>
      </c>
      <c r="B79" s="56" t="s">
        <v>83</v>
      </c>
      <c r="C79" s="63">
        <v>200000</v>
      </c>
      <c r="D79" s="576">
        <f>700000-700000</f>
        <v>0</v>
      </c>
      <c r="E79" s="576">
        <f>C79+D79</f>
        <v>200000</v>
      </c>
      <c r="F79" s="487">
        <v>500000</v>
      </c>
    </row>
    <row r="80" spans="1:6" ht="15.75">
      <c r="A80" s="85" t="s">
        <v>85</v>
      </c>
      <c r="B80" s="56" t="s">
        <v>86</v>
      </c>
      <c r="C80" s="63">
        <v>700000</v>
      </c>
      <c r="D80" s="576">
        <f>-700000+700000</f>
        <v>0</v>
      </c>
      <c r="E80" s="576">
        <f>C80+D80</f>
        <v>700000</v>
      </c>
      <c r="F80" s="487">
        <v>132000</v>
      </c>
    </row>
    <row r="81" spans="1:6" ht="15.75">
      <c r="A81" s="140" t="s">
        <v>170</v>
      </c>
      <c r="B81" s="14"/>
      <c r="C81" s="61">
        <f>SUM(C75:C80)</f>
        <v>2000000</v>
      </c>
      <c r="D81" s="486">
        <f>SUM(D75:D80)</f>
        <v>0</v>
      </c>
      <c r="E81" s="486">
        <f>SUM(E75:E80)</f>
        <v>2000000</v>
      </c>
      <c r="F81" s="486">
        <f>SUM(F75:F80)</f>
        <v>2032000</v>
      </c>
    </row>
    <row r="82" spans="1:6" ht="15.75">
      <c r="A82" s="210" t="s">
        <v>377</v>
      </c>
      <c r="B82" s="125"/>
      <c r="C82" s="194"/>
      <c r="D82" s="533"/>
      <c r="E82" s="533"/>
      <c r="F82" s="533"/>
    </row>
    <row r="83" spans="1:6" ht="15.75">
      <c r="A83" s="12"/>
      <c r="B83" s="101" t="s">
        <v>35</v>
      </c>
      <c r="C83" s="60"/>
      <c r="D83" s="518"/>
      <c r="E83" s="545"/>
      <c r="F83" s="828"/>
    </row>
    <row r="84" spans="1:6" ht="15.75">
      <c r="A84" s="12" t="s">
        <v>33</v>
      </c>
      <c r="B84" s="99" t="s">
        <v>34</v>
      </c>
      <c r="C84" s="60">
        <v>2000000</v>
      </c>
      <c r="D84" s="518"/>
      <c r="E84" s="545">
        <f>C84+D84</f>
        <v>2000000</v>
      </c>
      <c r="F84" s="828"/>
    </row>
    <row r="85" spans="1:6" ht="15.75">
      <c r="A85" s="12" t="s">
        <v>36</v>
      </c>
      <c r="B85" s="99" t="s">
        <v>37</v>
      </c>
      <c r="C85" s="60">
        <v>4000000</v>
      </c>
      <c r="D85" s="518"/>
      <c r="E85" s="545">
        <f>C85+D85</f>
        <v>4000000</v>
      </c>
      <c r="F85" s="828"/>
    </row>
    <row r="86" spans="1:6" ht="15.75">
      <c r="A86" s="12" t="s">
        <v>38</v>
      </c>
      <c r="B86" s="99" t="s">
        <v>39</v>
      </c>
      <c r="C86" s="60">
        <v>4000000</v>
      </c>
      <c r="D86" s="518"/>
      <c r="E86" s="545">
        <f>C86+D86</f>
        <v>4000000</v>
      </c>
      <c r="F86" s="828"/>
    </row>
    <row r="87" spans="1:6" ht="15.75">
      <c r="A87" s="12" t="s">
        <v>412</v>
      </c>
      <c r="B87" s="99" t="s">
        <v>413</v>
      </c>
      <c r="C87" s="60">
        <v>2500000</v>
      </c>
      <c r="D87" s="518"/>
      <c r="E87" s="545">
        <f>C87+D87</f>
        <v>2500000</v>
      </c>
      <c r="F87" s="828"/>
    </row>
    <row r="88" spans="1:6" ht="15.75">
      <c r="A88" s="12"/>
      <c r="B88" s="101" t="s">
        <v>68</v>
      </c>
      <c r="C88" s="60"/>
      <c r="D88" s="518"/>
      <c r="E88" s="545"/>
      <c r="F88" s="828"/>
    </row>
    <row r="89" spans="1:6" ht="15.75">
      <c r="A89" s="12" t="s">
        <v>66</v>
      </c>
      <c r="B89" s="99" t="s">
        <v>67</v>
      </c>
      <c r="C89" s="60">
        <v>1000000</v>
      </c>
      <c r="D89" s="518"/>
      <c r="E89" s="545">
        <f aca="true" t="shared" si="1" ref="E89:E94">C89+D89</f>
        <v>1000000</v>
      </c>
      <c r="F89" s="828"/>
    </row>
    <row r="90" spans="1:6" ht="15.75">
      <c r="A90" s="12" t="s">
        <v>69</v>
      </c>
      <c r="B90" s="99" t="s">
        <v>70</v>
      </c>
      <c r="C90" s="60">
        <v>3500000</v>
      </c>
      <c r="D90" s="518"/>
      <c r="E90" s="545">
        <f t="shared" si="1"/>
        <v>3500000</v>
      </c>
      <c r="F90" s="828"/>
    </row>
    <row r="91" spans="1:6" ht="15.75">
      <c r="A91" s="12" t="s">
        <v>75</v>
      </c>
      <c r="B91" s="99" t="s">
        <v>76</v>
      </c>
      <c r="C91" s="60">
        <v>3000000</v>
      </c>
      <c r="D91" s="518"/>
      <c r="E91" s="545">
        <f t="shared" si="1"/>
        <v>3000000</v>
      </c>
      <c r="F91" s="828"/>
    </row>
    <row r="92" spans="1:6" ht="15.75">
      <c r="A92" s="12" t="s">
        <v>77</v>
      </c>
      <c r="B92" s="99" t="s">
        <v>78</v>
      </c>
      <c r="C92" s="60">
        <v>1000000</v>
      </c>
      <c r="D92" s="518"/>
      <c r="E92" s="545">
        <f t="shared" si="1"/>
        <v>1000000</v>
      </c>
      <c r="F92" s="828"/>
    </row>
    <row r="93" spans="1:6" ht="15.75">
      <c r="A93" s="12">
        <v>2210704</v>
      </c>
      <c r="B93" s="99" t="s">
        <v>423</v>
      </c>
      <c r="C93" s="60">
        <v>3000000</v>
      </c>
      <c r="D93" s="518"/>
      <c r="E93" s="545">
        <f t="shared" si="1"/>
        <v>3000000</v>
      </c>
      <c r="F93" s="828"/>
    </row>
    <row r="94" spans="1:6" ht="15.75">
      <c r="A94" s="12">
        <v>2210703</v>
      </c>
      <c r="B94" s="99" t="s">
        <v>424</v>
      </c>
      <c r="C94" s="60">
        <v>1500000</v>
      </c>
      <c r="D94" s="518"/>
      <c r="E94" s="545">
        <f t="shared" si="1"/>
        <v>1500000</v>
      </c>
      <c r="F94" s="828"/>
    </row>
    <row r="95" spans="1:6" ht="15.75">
      <c r="A95" s="12"/>
      <c r="B95" s="101" t="s">
        <v>136</v>
      </c>
      <c r="C95" s="60"/>
      <c r="D95" s="518"/>
      <c r="E95" s="545"/>
      <c r="F95" s="828"/>
    </row>
    <row r="96" spans="1:6" ht="15.75">
      <c r="A96" s="12">
        <v>3111001</v>
      </c>
      <c r="B96" s="99" t="s">
        <v>425</v>
      </c>
      <c r="C96" s="60">
        <v>2500000</v>
      </c>
      <c r="D96" s="518"/>
      <c r="E96" s="545">
        <f aca="true" t="shared" si="2" ref="E96:E101">C96+D96</f>
        <v>2500000</v>
      </c>
      <c r="F96" s="828"/>
    </row>
    <row r="97" spans="1:6" ht="15.75">
      <c r="A97" s="12">
        <v>3111009</v>
      </c>
      <c r="B97" s="99" t="s">
        <v>426</v>
      </c>
      <c r="C97" s="60">
        <v>1500000</v>
      </c>
      <c r="D97" s="518"/>
      <c r="E97" s="545">
        <f t="shared" si="2"/>
        <v>1500000</v>
      </c>
      <c r="F97" s="828"/>
    </row>
    <row r="98" spans="1:6" s="392" customFormat="1" ht="15.75">
      <c r="A98" s="12">
        <v>2210802</v>
      </c>
      <c r="B98" s="99" t="s">
        <v>86</v>
      </c>
      <c r="C98" s="60">
        <v>3500000</v>
      </c>
      <c r="D98" s="518"/>
      <c r="E98" s="545">
        <f t="shared" si="2"/>
        <v>3500000</v>
      </c>
      <c r="F98" s="828"/>
    </row>
    <row r="99" spans="1:6" ht="15.75">
      <c r="A99" s="12">
        <v>2211101</v>
      </c>
      <c r="B99" s="99" t="s">
        <v>123</v>
      </c>
      <c r="C99" s="60">
        <v>2500000</v>
      </c>
      <c r="D99" s="518"/>
      <c r="E99" s="545">
        <f t="shared" si="2"/>
        <v>2500000</v>
      </c>
      <c r="F99" s="828"/>
    </row>
    <row r="100" spans="1:6" ht="15.75">
      <c r="A100" s="12">
        <v>3111002</v>
      </c>
      <c r="B100" s="99" t="s">
        <v>427</v>
      </c>
      <c r="C100" s="60">
        <v>2500000</v>
      </c>
      <c r="D100" s="518"/>
      <c r="E100" s="545">
        <f t="shared" si="2"/>
        <v>2500000</v>
      </c>
      <c r="F100" s="828"/>
    </row>
    <row r="101" spans="1:6" ht="15.75">
      <c r="A101" s="12">
        <v>2211311</v>
      </c>
      <c r="B101" s="99" t="s">
        <v>428</v>
      </c>
      <c r="C101" s="60">
        <v>12000000</v>
      </c>
      <c r="D101" s="518"/>
      <c r="E101" s="545">
        <f t="shared" si="2"/>
        <v>12000000</v>
      </c>
      <c r="F101" s="828"/>
    </row>
    <row r="102" spans="1:6" ht="15.75">
      <c r="A102" s="140" t="s">
        <v>170</v>
      </c>
      <c r="B102" s="6"/>
      <c r="C102" s="61">
        <f>SUM(C84:C101)</f>
        <v>50000000</v>
      </c>
      <c r="D102" s="486">
        <f>SUM(D84:D101)</f>
        <v>0</v>
      </c>
      <c r="E102" s="486">
        <f>SUM(E84:E101)</f>
        <v>50000000</v>
      </c>
      <c r="F102" s="486">
        <f>SUM(F84:F101)</f>
        <v>0</v>
      </c>
    </row>
    <row r="103" spans="1:6" s="2" customFormat="1" ht="15.75" hidden="1">
      <c r="A103" s="179">
        <v>11402</v>
      </c>
      <c r="B103" s="64" t="s">
        <v>746</v>
      </c>
      <c r="C103" s="104"/>
      <c r="D103" s="522"/>
      <c r="E103" s="546"/>
      <c r="F103" s="828"/>
    </row>
    <row r="104" spans="1:6" s="2" customFormat="1" ht="15.75" hidden="1">
      <c r="A104" s="151"/>
      <c r="B104" s="161" t="s">
        <v>224</v>
      </c>
      <c r="C104" s="154" t="e">
        <f>'PROJECTS DETAILS'!#REF!</f>
        <v>#REF!</v>
      </c>
      <c r="D104" s="522" t="e">
        <f>'PROJECTS DETAILS'!#REF!</f>
        <v>#REF!</v>
      </c>
      <c r="E104" s="546" t="e">
        <f>C104+D104</f>
        <v>#REF!</v>
      </c>
      <c r="F104" s="828"/>
    </row>
    <row r="105" spans="1:6" s="2" customFormat="1" ht="15.75" hidden="1">
      <c r="A105" s="151">
        <v>3110504</v>
      </c>
      <c r="B105" s="56" t="s">
        <v>850</v>
      </c>
      <c r="C105" s="63" t="e">
        <f>'PROJECTS DETAILS'!#REF!</f>
        <v>#REF!</v>
      </c>
      <c r="D105" s="522" t="e">
        <f>'PROJECTS DETAILS'!#REF!</f>
        <v>#REF!</v>
      </c>
      <c r="E105" s="546" t="e">
        <f>C105+D105</f>
        <v>#REF!</v>
      </c>
      <c r="F105" s="828"/>
    </row>
    <row r="106" spans="1:6" s="2" customFormat="1" ht="15.75" hidden="1">
      <c r="A106" s="291"/>
      <c r="B106" s="292" t="s">
        <v>849</v>
      </c>
      <c r="C106" s="138" t="e">
        <f>SUM(C104:C105)</f>
        <v>#REF!</v>
      </c>
      <c r="D106" s="495" t="e">
        <f>SUM(D104:D105)</f>
        <v>#REF!</v>
      </c>
      <c r="E106" s="495" t="e">
        <f>SUM(E104:E105)</f>
        <v>#REF!</v>
      </c>
      <c r="F106" s="495">
        <f>SUM(F104:F105)</f>
        <v>0</v>
      </c>
    </row>
    <row r="107" spans="1:6" s="2" customFormat="1" ht="15.75">
      <c r="A107" s="291"/>
      <c r="B107" s="292" t="s">
        <v>747</v>
      </c>
      <c r="C107" s="138" t="e">
        <f>SUM(C106:C106)</f>
        <v>#REF!</v>
      </c>
      <c r="D107" s="495" t="e">
        <f>SUM(D106:D106)</f>
        <v>#REF!</v>
      </c>
      <c r="E107" s="495" t="e">
        <f>SUM(E106:E106)</f>
        <v>#REF!</v>
      </c>
      <c r="F107" s="495">
        <f>SUM(F106:F106)</f>
        <v>0</v>
      </c>
    </row>
    <row r="108" spans="1:6" ht="15.75">
      <c r="A108" s="140"/>
      <c r="B108" s="140" t="s">
        <v>171</v>
      </c>
      <c r="C108" s="61">
        <f>SUM(C102,C72,C68,C65,C55,C52,C47,C43,C37,C34,C28,C21,C18,C81)</f>
        <v>96529603</v>
      </c>
      <c r="D108" s="486">
        <f>SUM(D102,D72,D68,D65,D55,D52,D47,D43,D37,D34,D28,D21,D18,D81)</f>
        <v>2888000</v>
      </c>
      <c r="E108" s="486">
        <f>SUM(E102,E72,E68,E65,E55,E52,E47,E43,E37,E34,E28,E21,E18,E81)</f>
        <v>99417603</v>
      </c>
      <c r="F108" s="486">
        <f>SUM(F102,F72,F68,F65,F55,F52,F47,F43,F37,F34,F28,F21,F18,F81)</f>
        <v>67462000</v>
      </c>
    </row>
    <row r="109" spans="1:6" ht="15.75">
      <c r="A109" s="140"/>
      <c r="B109" s="140" t="s">
        <v>784</v>
      </c>
      <c r="C109" s="61">
        <f>SUM(C108,C13)</f>
        <v>139074275</v>
      </c>
      <c r="D109" s="486">
        <f>SUM(D108,D13)</f>
        <v>2888000</v>
      </c>
      <c r="E109" s="486">
        <f>SUM(E108,E13)</f>
        <v>141962275</v>
      </c>
      <c r="F109" s="486">
        <f>SUM(F108,F13)</f>
        <v>111708459</v>
      </c>
    </row>
    <row r="110" spans="1:6" s="98" customFormat="1" ht="15.75">
      <c r="A110" s="140"/>
      <c r="B110" s="6" t="s">
        <v>787</v>
      </c>
      <c r="C110" s="61" t="e">
        <f>SUM(C107)</f>
        <v>#REF!</v>
      </c>
      <c r="D110" s="486" t="e">
        <f>SUM(D107)</f>
        <v>#REF!</v>
      </c>
      <c r="E110" s="486"/>
      <c r="F110" s="486"/>
    </row>
    <row r="111" spans="1:6" s="98" customFormat="1" ht="15.75">
      <c r="A111" s="140"/>
      <c r="B111" s="6" t="s">
        <v>790</v>
      </c>
      <c r="C111" s="61" t="e">
        <f>SUM(C109:C110)</f>
        <v>#REF!</v>
      </c>
      <c r="D111" s="486" t="e">
        <f>SUM(D109:D110)</f>
        <v>#REF!</v>
      </c>
      <c r="E111" s="486">
        <f>SUM(E109:E110)</f>
        <v>141962275</v>
      </c>
      <c r="F111" s="486">
        <f>SUM(F109:F110)</f>
        <v>111708459</v>
      </c>
    </row>
    <row r="112" spans="1:3" ht="15.75">
      <c r="A112" s="209"/>
      <c r="B112" s="1"/>
      <c r="C112" s="102">
        <f>35229603</f>
        <v>35229603</v>
      </c>
    </row>
    <row r="113" spans="1:3" ht="15.75">
      <c r="A113" s="209"/>
      <c r="B113" s="1"/>
      <c r="C113" s="102">
        <f>35229603-C112</f>
        <v>0</v>
      </c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0" r:id="rId3"/>
  <rowBreaks count="1" manualBreakCount="1">
    <brk id="64" max="5" man="1"/>
  </row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205"/>
  <sheetViews>
    <sheetView view="pageBreakPreview" zoomScale="110" zoomScaleSheetLayoutView="11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3" sqref="F13"/>
    </sheetView>
  </sheetViews>
  <sheetFormatPr defaultColWidth="9.140625" defaultRowHeight="15"/>
  <cols>
    <col min="1" max="1" width="15.00390625" style="348" customWidth="1"/>
    <col min="2" max="2" width="60.421875" style="348" customWidth="1"/>
    <col min="3" max="3" width="17.28125" style="8" customWidth="1"/>
    <col min="4" max="4" width="18.28125" style="582" customWidth="1"/>
    <col min="5" max="5" width="15.7109375" style="68" customWidth="1"/>
    <col min="6" max="7" width="12.28125" style="68" bestFit="1" customWidth="1"/>
    <col min="8" max="8" width="10.28125" style="68" bestFit="1" customWidth="1"/>
    <col min="9" max="16384" width="9.140625" style="68" customWidth="1"/>
  </cols>
  <sheetData>
    <row r="1" spans="1:3" ht="15">
      <c r="A1" s="934" t="s">
        <v>315</v>
      </c>
      <c r="B1" s="934"/>
      <c r="C1" s="935"/>
    </row>
    <row r="2" spans="1:5" ht="15">
      <c r="A2" s="338"/>
      <c r="B2" s="338"/>
      <c r="C2" s="115"/>
      <c r="D2" s="115"/>
      <c r="E2" s="115"/>
    </row>
    <row r="3" spans="1:6" ht="63">
      <c r="A3" s="338">
        <v>10101</v>
      </c>
      <c r="B3" s="338" t="s">
        <v>868</v>
      </c>
      <c r="C3" s="466" t="s">
        <v>996</v>
      </c>
      <c r="D3" s="583" t="s">
        <v>995</v>
      </c>
      <c r="E3" s="466" t="s">
        <v>997</v>
      </c>
      <c r="F3" s="504" t="s">
        <v>1058</v>
      </c>
    </row>
    <row r="4" spans="1:5" ht="15.75">
      <c r="A4" s="339">
        <v>2100000</v>
      </c>
      <c r="B4" s="350" t="s">
        <v>678</v>
      </c>
      <c r="C4" s="330"/>
      <c r="D4" s="584"/>
      <c r="E4" s="96"/>
    </row>
    <row r="5" spans="1:5" ht="15">
      <c r="A5" s="374">
        <v>2110101</v>
      </c>
      <c r="B5" s="375" t="s">
        <v>364</v>
      </c>
      <c r="C5" s="467">
        <v>4851000</v>
      </c>
      <c r="D5" s="584"/>
      <c r="E5" s="473">
        <f>C5+D5</f>
        <v>4851000</v>
      </c>
    </row>
    <row r="6" spans="1:5" ht="15">
      <c r="A6" s="374">
        <v>2110202</v>
      </c>
      <c r="B6" s="375" t="s">
        <v>902</v>
      </c>
      <c r="C6" s="467">
        <v>1647360</v>
      </c>
      <c r="D6" s="584"/>
      <c r="E6" s="473">
        <f aca="true" t="shared" si="0" ref="E6:E11">C6+D6</f>
        <v>1647360</v>
      </c>
    </row>
    <row r="7" spans="1:5" ht="15">
      <c r="A7" s="376">
        <v>2110301</v>
      </c>
      <c r="B7" s="375" t="s">
        <v>4</v>
      </c>
      <c r="C7" s="467">
        <v>1242101</v>
      </c>
      <c r="D7" s="584"/>
      <c r="E7" s="473">
        <f t="shared" si="0"/>
        <v>1242101</v>
      </c>
    </row>
    <row r="8" spans="1:5" ht="15">
      <c r="A8" s="376">
        <v>2110314</v>
      </c>
      <c r="B8" s="375" t="s">
        <v>365</v>
      </c>
      <c r="C8" s="467">
        <v>492000</v>
      </c>
      <c r="D8" s="584"/>
      <c r="E8" s="473">
        <f t="shared" si="0"/>
        <v>492000</v>
      </c>
    </row>
    <row r="9" spans="1:5" ht="15">
      <c r="A9" s="340">
        <v>2110328</v>
      </c>
      <c r="B9" s="375" t="s">
        <v>366</v>
      </c>
      <c r="C9" s="467">
        <v>3648000</v>
      </c>
      <c r="D9" s="584"/>
      <c r="E9" s="473">
        <f t="shared" si="0"/>
        <v>3648000</v>
      </c>
    </row>
    <row r="10" spans="1:5" ht="15">
      <c r="A10" s="376">
        <v>2110405</v>
      </c>
      <c r="B10" s="375" t="s">
        <v>367</v>
      </c>
      <c r="C10" s="467">
        <v>156000</v>
      </c>
      <c r="D10" s="584"/>
      <c r="E10" s="473">
        <f t="shared" si="0"/>
        <v>156000</v>
      </c>
    </row>
    <row r="11" spans="1:5" ht="15">
      <c r="A11" s="376">
        <v>2120103</v>
      </c>
      <c r="B11" s="375" t="s">
        <v>368</v>
      </c>
      <c r="C11" s="467">
        <v>1393326</v>
      </c>
      <c r="D11" s="584"/>
      <c r="E11" s="473">
        <f t="shared" si="0"/>
        <v>1393326</v>
      </c>
    </row>
    <row r="12" spans="1:6" s="116" customFormat="1" ht="15.75">
      <c r="A12" s="936" t="s">
        <v>313</v>
      </c>
      <c r="B12" s="936"/>
      <c r="C12" s="359">
        <f>SUM(C5:C11)</f>
        <v>13429787</v>
      </c>
      <c r="D12" s="585">
        <f>SUM(D5:D11)</f>
        <v>0</v>
      </c>
      <c r="E12" s="359">
        <f>SUM(E5:E11)</f>
        <v>13429787</v>
      </c>
      <c r="F12" s="835">
        <f>E12+E68+E118</f>
        <v>536005019</v>
      </c>
    </row>
    <row r="13" spans="1:5" ht="15">
      <c r="A13" s="95"/>
      <c r="B13" s="95"/>
      <c r="C13" s="111"/>
      <c r="D13" s="584"/>
      <c r="E13" s="96"/>
    </row>
    <row r="14" spans="1:5" ht="15">
      <c r="A14" s="341"/>
      <c r="B14" s="351" t="s">
        <v>21</v>
      </c>
      <c r="C14" s="111"/>
      <c r="D14" s="584"/>
      <c r="E14" s="96"/>
    </row>
    <row r="15" spans="1:5" ht="15">
      <c r="A15" s="95" t="s">
        <v>19</v>
      </c>
      <c r="B15" s="95" t="s">
        <v>20</v>
      </c>
      <c r="C15" s="467">
        <v>240000</v>
      </c>
      <c r="D15" s="584"/>
      <c r="E15" s="473">
        <f>C15+D15</f>
        <v>240000</v>
      </c>
    </row>
    <row r="16" spans="1:5" ht="15">
      <c r="A16" s="95" t="s">
        <v>22</v>
      </c>
      <c r="B16" s="95" t="s">
        <v>23</v>
      </c>
      <c r="C16" s="467">
        <v>96000</v>
      </c>
      <c r="D16" s="584">
        <v>-50000</v>
      </c>
      <c r="E16" s="473">
        <f>C16+D16</f>
        <v>46000</v>
      </c>
    </row>
    <row r="17" spans="1:5" ht="15.75">
      <c r="A17" s="937" t="s">
        <v>313</v>
      </c>
      <c r="B17" s="937"/>
      <c r="C17" s="112">
        <f>SUM(C15:C16)</f>
        <v>336000</v>
      </c>
      <c r="D17" s="478">
        <f>SUM(D15:D16)</f>
        <v>-50000</v>
      </c>
      <c r="E17" s="112">
        <f>SUM(E15:E16)</f>
        <v>286000</v>
      </c>
    </row>
    <row r="18" spans="1:5" ht="15">
      <c r="A18" s="341"/>
      <c r="B18" s="351" t="s">
        <v>28</v>
      </c>
      <c r="C18" s="111"/>
      <c r="D18" s="584"/>
      <c r="E18" s="96"/>
    </row>
    <row r="19" spans="1:5" ht="15">
      <c r="A19" s="377" t="s">
        <v>31</v>
      </c>
      <c r="B19" s="375" t="s">
        <v>32</v>
      </c>
      <c r="C19" s="467">
        <v>44000</v>
      </c>
      <c r="D19" s="584"/>
      <c r="E19" s="473">
        <f>C19+D19</f>
        <v>44000</v>
      </c>
    </row>
    <row r="20" spans="1:5" ht="15.75">
      <c r="A20" s="933" t="s">
        <v>313</v>
      </c>
      <c r="B20" s="933"/>
      <c r="C20" s="113">
        <f>SUM(C19:C19)</f>
        <v>44000</v>
      </c>
      <c r="D20" s="477">
        <f>SUM(D19:D19)</f>
        <v>0</v>
      </c>
      <c r="E20" s="113">
        <f>SUM(E19:E19)</f>
        <v>44000</v>
      </c>
    </row>
    <row r="21" spans="1:5" ht="15">
      <c r="A21" s="95"/>
      <c r="B21" s="351" t="s">
        <v>369</v>
      </c>
      <c r="C21" s="111"/>
      <c r="D21" s="584"/>
      <c r="E21" s="96"/>
    </row>
    <row r="22" spans="1:5" ht="15">
      <c r="A22" s="95" t="s">
        <v>33</v>
      </c>
      <c r="B22" s="95" t="s">
        <v>34</v>
      </c>
      <c r="C22" s="467">
        <v>920000</v>
      </c>
      <c r="D22" s="584"/>
      <c r="E22" s="473">
        <f>C22+D22</f>
        <v>920000</v>
      </c>
    </row>
    <row r="23" spans="1:5" ht="15">
      <c r="A23" s="95" t="s">
        <v>36</v>
      </c>
      <c r="B23" s="95" t="s">
        <v>37</v>
      </c>
      <c r="C23" s="467">
        <v>4200000</v>
      </c>
      <c r="D23" s="584"/>
      <c r="E23" s="473">
        <f>C23+D23</f>
        <v>4200000</v>
      </c>
    </row>
    <row r="24" spans="1:5" ht="15">
      <c r="A24" s="95" t="s">
        <v>38</v>
      </c>
      <c r="B24" s="95" t="s">
        <v>39</v>
      </c>
      <c r="C24" s="467">
        <v>2100000</v>
      </c>
      <c r="D24" s="584"/>
      <c r="E24" s="473">
        <f>C24+D24</f>
        <v>2100000</v>
      </c>
    </row>
    <row r="25" spans="1:5" ht="15.75">
      <c r="A25" s="933" t="s">
        <v>313</v>
      </c>
      <c r="B25" s="933"/>
      <c r="C25" s="113">
        <f>SUM(C22:C24)</f>
        <v>7220000</v>
      </c>
      <c r="D25" s="477">
        <f>SUM(D22:D24)</f>
        <v>0</v>
      </c>
      <c r="E25" s="113">
        <f>SUM(E22:E24)</f>
        <v>7220000</v>
      </c>
    </row>
    <row r="26" spans="1:5" ht="15">
      <c r="A26" s="341"/>
      <c r="B26" s="351" t="s">
        <v>44</v>
      </c>
      <c r="C26" s="111"/>
      <c r="D26" s="584"/>
      <c r="E26" s="96"/>
    </row>
    <row r="27" spans="1:5" ht="15">
      <c r="A27" s="95" t="s">
        <v>42</v>
      </c>
      <c r="B27" s="95" t="s">
        <v>43</v>
      </c>
      <c r="C27" s="467">
        <v>2100000</v>
      </c>
      <c r="D27" s="584"/>
      <c r="E27" s="473">
        <f>C27+D27</f>
        <v>2100000</v>
      </c>
    </row>
    <row r="28" spans="1:5" ht="15">
      <c r="A28" s="95" t="s">
        <v>45</v>
      </c>
      <c r="B28" s="95" t="s">
        <v>46</v>
      </c>
      <c r="C28" s="467">
        <v>2700000</v>
      </c>
      <c r="D28" s="584"/>
      <c r="E28" s="473">
        <f>C28+D28</f>
        <v>2700000</v>
      </c>
    </row>
    <row r="29" spans="1:5" ht="15">
      <c r="A29" s="95" t="s">
        <v>47</v>
      </c>
      <c r="B29" s="95" t="s">
        <v>39</v>
      </c>
      <c r="C29" s="467">
        <v>2700000</v>
      </c>
      <c r="D29" s="584"/>
      <c r="E29" s="473">
        <f>C29+D29</f>
        <v>2700000</v>
      </c>
    </row>
    <row r="30" spans="1:5" ht="15.75">
      <c r="A30" s="937" t="s">
        <v>313</v>
      </c>
      <c r="B30" s="937"/>
      <c r="C30" s="113">
        <f>SUM(C27:C29)</f>
        <v>7500000</v>
      </c>
      <c r="D30" s="477">
        <f>SUM(D27:D29)</f>
        <v>0</v>
      </c>
      <c r="E30" s="113">
        <f>SUM(E27:E29)</f>
        <v>7500000</v>
      </c>
    </row>
    <row r="31" spans="1:5" ht="15">
      <c r="A31" s="341"/>
      <c r="B31" s="351" t="s">
        <v>50</v>
      </c>
      <c r="C31" s="111"/>
      <c r="D31" s="584"/>
      <c r="E31" s="96"/>
    </row>
    <row r="32" spans="1:5" ht="15">
      <c r="A32" s="377" t="s">
        <v>51</v>
      </c>
      <c r="B32" s="375" t="s">
        <v>52</v>
      </c>
      <c r="C32" s="467">
        <v>120000</v>
      </c>
      <c r="D32" s="584"/>
      <c r="E32" s="473">
        <f>C32+D32</f>
        <v>120000</v>
      </c>
    </row>
    <row r="33" spans="1:5" ht="15">
      <c r="A33" s="378">
        <v>2210503</v>
      </c>
      <c r="B33" s="375" t="s">
        <v>54</v>
      </c>
      <c r="C33" s="467">
        <v>90000</v>
      </c>
      <c r="D33" s="584"/>
      <c r="E33" s="473">
        <f>C33+D33</f>
        <v>90000</v>
      </c>
    </row>
    <row r="34" spans="1:5" ht="15">
      <c r="A34" s="377" t="s">
        <v>55</v>
      </c>
      <c r="B34" s="375" t="s">
        <v>904</v>
      </c>
      <c r="C34" s="467">
        <v>1000000</v>
      </c>
      <c r="D34" s="584"/>
      <c r="E34" s="473">
        <f>C34+D34</f>
        <v>1000000</v>
      </c>
    </row>
    <row r="35" spans="1:5" ht="15.75">
      <c r="A35" s="938" t="s">
        <v>313</v>
      </c>
      <c r="B35" s="939"/>
      <c r="C35" s="113">
        <f>SUM(C32:C34)</f>
        <v>1210000</v>
      </c>
      <c r="D35" s="477">
        <f>SUM(D32:D34)</f>
        <v>0</v>
      </c>
      <c r="E35" s="113">
        <f>SUM(E32:E34)</f>
        <v>1210000</v>
      </c>
    </row>
    <row r="36" spans="1:5" ht="15">
      <c r="A36" s="341"/>
      <c r="B36" s="351" t="s">
        <v>59</v>
      </c>
      <c r="C36" s="111"/>
      <c r="D36" s="584"/>
      <c r="E36" s="96"/>
    </row>
    <row r="37" spans="1:5" ht="15">
      <c r="A37" s="95">
        <v>2210604</v>
      </c>
      <c r="B37" s="95" t="s">
        <v>65</v>
      </c>
      <c r="C37" s="111">
        <v>0</v>
      </c>
      <c r="D37" s="584"/>
      <c r="E37" s="100">
        <f>C37+D37</f>
        <v>0</v>
      </c>
    </row>
    <row r="38" spans="1:5" ht="15.75">
      <c r="A38" s="933" t="s">
        <v>313</v>
      </c>
      <c r="B38" s="933"/>
      <c r="C38" s="113">
        <f>SUM(C37:C37)</f>
        <v>0</v>
      </c>
      <c r="D38" s="477">
        <f>SUM(D37:D37)</f>
        <v>0</v>
      </c>
      <c r="E38" s="113">
        <f>SUM(E37:E37)</f>
        <v>0</v>
      </c>
    </row>
    <row r="39" spans="1:5" ht="15">
      <c r="A39" s="341"/>
      <c r="B39" s="351" t="s">
        <v>68</v>
      </c>
      <c r="C39" s="111"/>
      <c r="D39" s="584"/>
      <c r="E39" s="96"/>
    </row>
    <row r="40" spans="1:5" ht="15">
      <c r="A40" s="377" t="s">
        <v>66</v>
      </c>
      <c r="B40" s="375" t="s">
        <v>67</v>
      </c>
      <c r="C40" s="467">
        <v>500000</v>
      </c>
      <c r="D40" s="584"/>
      <c r="E40" s="473">
        <f>C40+D40</f>
        <v>500000</v>
      </c>
    </row>
    <row r="41" spans="1:5" ht="15">
      <c r="A41" s="377" t="s">
        <v>69</v>
      </c>
      <c r="B41" s="375" t="s">
        <v>70</v>
      </c>
      <c r="C41" s="467">
        <v>400000</v>
      </c>
      <c r="D41" s="584"/>
      <c r="E41" s="473">
        <f>C41+D41</f>
        <v>400000</v>
      </c>
    </row>
    <row r="42" spans="1:5" ht="15">
      <c r="A42" s="377" t="s">
        <v>71</v>
      </c>
      <c r="B42" s="375" t="s">
        <v>72</v>
      </c>
      <c r="C42" s="467">
        <v>500000</v>
      </c>
      <c r="D42" s="584"/>
      <c r="E42" s="473">
        <f>C42+D42</f>
        <v>500000</v>
      </c>
    </row>
    <row r="43" spans="1:5" s="149" customFormat="1" ht="15">
      <c r="A43" s="377" t="s">
        <v>73</v>
      </c>
      <c r="B43" s="375" t="s">
        <v>74</v>
      </c>
      <c r="C43" s="467">
        <v>500000</v>
      </c>
      <c r="D43" s="586"/>
      <c r="E43" s="473">
        <f>C43+D43</f>
        <v>500000</v>
      </c>
    </row>
    <row r="44" spans="1:5" ht="15.75">
      <c r="A44" s="933" t="s">
        <v>313</v>
      </c>
      <c r="B44" s="933"/>
      <c r="C44" s="113">
        <f>SUM(C40:C43)</f>
        <v>1900000</v>
      </c>
      <c r="D44" s="477">
        <f>SUM(D40:D43)</f>
        <v>0</v>
      </c>
      <c r="E44" s="113">
        <f>SUM(E40:E43)</f>
        <v>1900000</v>
      </c>
    </row>
    <row r="45" spans="1:5" ht="15">
      <c r="A45" s="341"/>
      <c r="B45" s="351" t="s">
        <v>84</v>
      </c>
      <c r="C45" s="111"/>
      <c r="D45" s="584"/>
      <c r="E45" s="96"/>
    </row>
    <row r="46" spans="1:5" ht="15">
      <c r="A46" s="95" t="s">
        <v>82</v>
      </c>
      <c r="B46" s="95" t="s">
        <v>83</v>
      </c>
      <c r="C46" s="467">
        <v>500000</v>
      </c>
      <c r="D46" s="584"/>
      <c r="E46" s="473">
        <f>C46+D46</f>
        <v>500000</v>
      </c>
    </row>
    <row r="47" spans="1:5" ht="15">
      <c r="A47" s="95" t="s">
        <v>85</v>
      </c>
      <c r="B47" s="95" t="s">
        <v>86</v>
      </c>
      <c r="C47" s="467">
        <v>1050000</v>
      </c>
      <c r="D47" s="584"/>
      <c r="E47" s="473">
        <f>C47+D47</f>
        <v>1050000</v>
      </c>
    </row>
    <row r="48" spans="1:5" ht="15">
      <c r="A48" s="95" t="s">
        <v>87</v>
      </c>
      <c r="B48" s="95" t="s">
        <v>370</v>
      </c>
      <c r="C48" s="467">
        <v>1000000</v>
      </c>
      <c r="D48" s="584"/>
      <c r="E48" s="473">
        <f>C48+D48</f>
        <v>1000000</v>
      </c>
    </row>
    <row r="49" spans="1:5" ht="15.75">
      <c r="A49" s="933" t="s">
        <v>313</v>
      </c>
      <c r="B49" s="933"/>
      <c r="C49" s="113">
        <f>SUM(C46:C48)</f>
        <v>2550000</v>
      </c>
      <c r="D49" s="477">
        <f>SUM(D46:D48)</f>
        <v>0</v>
      </c>
      <c r="E49" s="113">
        <f>SUM(E46:E48)</f>
        <v>2550000</v>
      </c>
    </row>
    <row r="50" spans="1:5" ht="15">
      <c r="A50" s="341"/>
      <c r="B50" s="351" t="s">
        <v>131</v>
      </c>
      <c r="C50" s="111"/>
      <c r="D50" s="584"/>
      <c r="E50" s="96"/>
    </row>
    <row r="51" spans="1:5" ht="15">
      <c r="A51" s="95" t="s">
        <v>129</v>
      </c>
      <c r="B51" s="95" t="s">
        <v>130</v>
      </c>
      <c r="C51" s="467">
        <v>1000000</v>
      </c>
      <c r="D51" s="584"/>
      <c r="E51" s="473">
        <f>C51+D51</f>
        <v>1000000</v>
      </c>
    </row>
    <row r="52" spans="1:5" ht="15">
      <c r="A52" s="340" t="s">
        <v>132</v>
      </c>
      <c r="B52" s="95" t="s">
        <v>371</v>
      </c>
      <c r="C52" s="467">
        <v>200000</v>
      </c>
      <c r="D52" s="584"/>
      <c r="E52" s="473">
        <f>C52+D52</f>
        <v>200000</v>
      </c>
    </row>
    <row r="53" spans="1:5" ht="15.75">
      <c r="A53" s="933" t="s">
        <v>313</v>
      </c>
      <c r="B53" s="933"/>
      <c r="C53" s="326">
        <f>SUM(C51:C52)</f>
        <v>1200000</v>
      </c>
      <c r="D53" s="587">
        <f>SUM(D51:D52)</f>
        <v>0</v>
      </c>
      <c r="E53" s="326">
        <f>SUM(E51:E52)</f>
        <v>1200000</v>
      </c>
    </row>
    <row r="54" spans="1:5" ht="15">
      <c r="A54" s="341"/>
      <c r="B54" s="351" t="s">
        <v>136</v>
      </c>
      <c r="C54" s="111"/>
      <c r="D54" s="584"/>
      <c r="E54" s="96"/>
    </row>
    <row r="55" spans="1:5" ht="15">
      <c r="A55" s="95" t="s">
        <v>139</v>
      </c>
      <c r="B55" s="95" t="s">
        <v>140</v>
      </c>
      <c r="C55" s="111">
        <v>3000000</v>
      </c>
      <c r="D55" s="584"/>
      <c r="E55" s="100">
        <f>C55+D55</f>
        <v>3000000</v>
      </c>
    </row>
    <row r="56" spans="1:5" s="149" customFormat="1" ht="15.75">
      <c r="A56" s="336" t="s">
        <v>313</v>
      </c>
      <c r="B56" s="336"/>
      <c r="C56" s="113">
        <f>SUM(C55:C55)</f>
        <v>3000000</v>
      </c>
      <c r="D56" s="477">
        <f>SUM(D55:D55)</f>
        <v>0</v>
      </c>
      <c r="E56" s="113">
        <f>SUM(E55:E55)</f>
        <v>3000000</v>
      </c>
    </row>
    <row r="57" spans="1:5" s="149" customFormat="1" ht="15.75">
      <c r="A57" s="336"/>
      <c r="B57" s="343" t="s">
        <v>875</v>
      </c>
      <c r="C57" s="113">
        <f>SUM(C56,C53,C49,C44,C38,C35,C30,C25,C20,C17)</f>
        <v>24960000</v>
      </c>
      <c r="D57" s="477">
        <f>SUM(D56,D53,D49,D44,D38,D35,D30,D25,D20,D17)</f>
        <v>-50000</v>
      </c>
      <c r="E57" s="113">
        <f>SUM(E56,E53,E49,E44,E38,E35,E30,E25,E20,E17)</f>
        <v>24910000</v>
      </c>
    </row>
    <row r="58" spans="1:5" s="149" customFormat="1" ht="15.75">
      <c r="A58" s="336"/>
      <c r="B58" s="343" t="s">
        <v>876</v>
      </c>
      <c r="C58" s="113">
        <f>SUM(C57,C12)</f>
        <v>38389787</v>
      </c>
      <c r="D58" s="477">
        <f>SUM(D57,D12)</f>
        <v>-50000</v>
      </c>
      <c r="E58" s="113">
        <f>SUM(E57,E12)</f>
        <v>38339787</v>
      </c>
    </row>
    <row r="59" spans="1:5" s="149" customFormat="1" ht="15.75">
      <c r="A59" s="329">
        <v>10102</v>
      </c>
      <c r="B59" s="329" t="s">
        <v>869</v>
      </c>
      <c r="C59" s="325"/>
      <c r="D59" s="586"/>
      <c r="E59" s="430"/>
    </row>
    <row r="60" spans="1:5" s="149" customFormat="1" ht="15.75">
      <c r="A60" s="339">
        <v>2100000</v>
      </c>
      <c r="B60" s="350" t="s">
        <v>678</v>
      </c>
      <c r="C60" s="330"/>
      <c r="D60" s="584"/>
      <c r="E60" s="430"/>
    </row>
    <row r="61" spans="1:5" s="149" customFormat="1" ht="15">
      <c r="A61" s="374">
        <v>2110101</v>
      </c>
      <c r="B61" s="375" t="s">
        <v>364</v>
      </c>
      <c r="C61" s="467">
        <v>122370000</v>
      </c>
      <c r="D61" s="584"/>
      <c r="E61" s="474">
        <f>C61+D61</f>
        <v>122370000</v>
      </c>
    </row>
    <row r="62" spans="1:5" s="149" customFormat="1" ht="15">
      <c r="A62" s="374">
        <v>2110202</v>
      </c>
      <c r="B62" s="375" t="s">
        <v>902</v>
      </c>
      <c r="C62" s="467">
        <v>31590000</v>
      </c>
      <c r="D62" s="584"/>
      <c r="E62" s="474">
        <f aca="true" t="shared" si="1" ref="E62:E67">C62+D62</f>
        <v>31590000</v>
      </c>
    </row>
    <row r="63" spans="1:5" s="149" customFormat="1" ht="15">
      <c r="A63" s="376">
        <v>2110314</v>
      </c>
      <c r="B63" s="375" t="s">
        <v>365</v>
      </c>
      <c r="C63" s="467">
        <v>32729184</v>
      </c>
      <c r="D63" s="584"/>
      <c r="E63" s="474">
        <f t="shared" si="1"/>
        <v>32729184</v>
      </c>
    </row>
    <row r="64" spans="1:5" s="149" customFormat="1" ht="15">
      <c r="A64" s="340">
        <v>2110328</v>
      </c>
      <c r="B64" s="375" t="s">
        <v>366</v>
      </c>
      <c r="C64" s="467">
        <v>115220000</v>
      </c>
      <c r="D64" s="584"/>
      <c r="E64" s="474">
        <f t="shared" si="1"/>
        <v>115220000</v>
      </c>
    </row>
    <row r="65" spans="1:5" s="149" customFormat="1" ht="15">
      <c r="A65" s="376">
        <v>2110312</v>
      </c>
      <c r="B65" s="375" t="s">
        <v>903</v>
      </c>
      <c r="C65" s="467">
        <v>17100000</v>
      </c>
      <c r="D65" s="584"/>
      <c r="E65" s="474">
        <f t="shared" si="1"/>
        <v>17100000</v>
      </c>
    </row>
    <row r="66" spans="1:5" s="149" customFormat="1" ht="15">
      <c r="A66" s="376">
        <v>2110405</v>
      </c>
      <c r="B66" s="375" t="s">
        <v>367</v>
      </c>
      <c r="C66" s="467">
        <v>4140000</v>
      </c>
      <c r="D66" s="584"/>
      <c r="E66" s="474">
        <f t="shared" si="1"/>
        <v>4140000</v>
      </c>
    </row>
    <row r="67" spans="1:5" s="149" customFormat="1" ht="15">
      <c r="A67" s="376">
        <v>2120103</v>
      </c>
      <c r="B67" s="375" t="s">
        <v>368</v>
      </c>
      <c r="C67" s="467">
        <v>23706415</v>
      </c>
      <c r="D67" s="584"/>
      <c r="E67" s="474">
        <f t="shared" si="1"/>
        <v>23706415</v>
      </c>
    </row>
    <row r="68" spans="1:5" s="149" customFormat="1" ht="15.75">
      <c r="A68" s="343" t="s">
        <v>313</v>
      </c>
      <c r="B68" s="343"/>
      <c r="C68" s="359">
        <f>SUM(C61:C67)</f>
        <v>346855599</v>
      </c>
      <c r="D68" s="585">
        <f>SUM(D61:D67)</f>
        <v>0</v>
      </c>
      <c r="E68" s="359">
        <f>SUM(E61:E67)</f>
        <v>346855599</v>
      </c>
    </row>
    <row r="69" spans="1:5" s="149" customFormat="1" ht="15">
      <c r="A69" s="95"/>
      <c r="B69" s="351" t="s">
        <v>369</v>
      </c>
      <c r="C69" s="111"/>
      <c r="D69" s="584"/>
      <c r="E69" s="430"/>
    </row>
    <row r="70" spans="1:5" s="149" customFormat="1" ht="15">
      <c r="A70" s="95" t="s">
        <v>33</v>
      </c>
      <c r="B70" s="95" t="s">
        <v>34</v>
      </c>
      <c r="C70" s="467">
        <v>15000000</v>
      </c>
      <c r="D70" s="584"/>
      <c r="E70" s="474">
        <f>C70+D70</f>
        <v>15000000</v>
      </c>
    </row>
    <row r="71" spans="1:5" s="149" customFormat="1" ht="15">
      <c r="A71" s="95" t="s">
        <v>36</v>
      </c>
      <c r="B71" s="95" t="s">
        <v>37</v>
      </c>
      <c r="C71" s="467">
        <v>20940000</v>
      </c>
      <c r="D71" s="584"/>
      <c r="E71" s="474">
        <f>C71+D71</f>
        <v>20940000</v>
      </c>
    </row>
    <row r="72" spans="1:5" s="149" customFormat="1" ht="15">
      <c r="A72" s="95" t="s">
        <v>38</v>
      </c>
      <c r="B72" s="95" t="s">
        <v>39</v>
      </c>
      <c r="C72" s="467">
        <v>20300000</v>
      </c>
      <c r="D72" s="584"/>
      <c r="E72" s="474">
        <f>C72+D72</f>
        <v>20300000</v>
      </c>
    </row>
    <row r="73" spans="1:5" s="149" customFormat="1" ht="15.75">
      <c r="A73" s="336" t="s">
        <v>313</v>
      </c>
      <c r="B73" s="336"/>
      <c r="C73" s="113">
        <f>SUM(C70:C72)</f>
        <v>56240000</v>
      </c>
      <c r="D73" s="477">
        <f>SUM(D70:D72)</f>
        <v>0</v>
      </c>
      <c r="E73" s="113">
        <f>SUM(E70:E72)</f>
        <v>56240000</v>
      </c>
    </row>
    <row r="74" spans="1:5" s="149" customFormat="1" ht="15">
      <c r="A74" s="341"/>
      <c r="B74" s="351" t="s">
        <v>44</v>
      </c>
      <c r="C74" s="111"/>
      <c r="D74" s="584"/>
      <c r="E74" s="430"/>
    </row>
    <row r="75" spans="1:5" s="149" customFormat="1" ht="15">
      <c r="A75" s="95" t="s">
        <v>42</v>
      </c>
      <c r="B75" s="95" t="s">
        <v>43</v>
      </c>
      <c r="C75" s="467">
        <v>5000000</v>
      </c>
      <c r="D75" s="584"/>
      <c r="E75" s="474">
        <f>C75+D75</f>
        <v>5000000</v>
      </c>
    </row>
    <row r="76" spans="1:5" s="149" customFormat="1" ht="15">
      <c r="A76" s="95" t="s">
        <v>45</v>
      </c>
      <c r="B76" s="95" t="s">
        <v>46</v>
      </c>
      <c r="C76" s="467">
        <v>5500000</v>
      </c>
      <c r="D76" s="584"/>
      <c r="E76" s="474">
        <f>C76+D76</f>
        <v>5500000</v>
      </c>
    </row>
    <row r="77" spans="1:5" s="149" customFormat="1" ht="15">
      <c r="A77" s="95" t="s">
        <v>47</v>
      </c>
      <c r="B77" s="95" t="s">
        <v>39</v>
      </c>
      <c r="C77" s="467">
        <v>5746000</v>
      </c>
      <c r="D77" s="584"/>
      <c r="E77" s="474">
        <f>C77+D77</f>
        <v>5746000</v>
      </c>
    </row>
    <row r="78" spans="1:5" s="149" customFormat="1" ht="15.75">
      <c r="A78" s="335" t="s">
        <v>313</v>
      </c>
      <c r="B78" s="335"/>
      <c r="C78" s="113">
        <f>SUM(C75:C77)</f>
        <v>16246000</v>
      </c>
      <c r="D78" s="477">
        <f>SUM(D75:D77)</f>
        <v>0</v>
      </c>
      <c r="E78" s="113">
        <f>SUM(E75:E77)</f>
        <v>16246000</v>
      </c>
    </row>
    <row r="79" spans="1:5" s="149" customFormat="1" ht="15">
      <c r="A79" s="341"/>
      <c r="B79" s="351" t="s">
        <v>50</v>
      </c>
      <c r="C79" s="111"/>
      <c r="D79" s="584"/>
      <c r="E79" s="430"/>
    </row>
    <row r="80" spans="1:5" s="149" customFormat="1" ht="15">
      <c r="A80" s="95">
        <v>2210505</v>
      </c>
      <c r="B80" s="95" t="s">
        <v>58</v>
      </c>
      <c r="C80" s="111">
        <v>1500000</v>
      </c>
      <c r="D80" s="584"/>
      <c r="E80" s="57">
        <f>C80+D80</f>
        <v>1500000</v>
      </c>
    </row>
    <row r="81" spans="1:5" s="149" customFormat="1" ht="15.75">
      <c r="A81" s="336" t="s">
        <v>313</v>
      </c>
      <c r="B81" s="336"/>
      <c r="C81" s="113">
        <f>SUM(C80:C80)</f>
        <v>1500000</v>
      </c>
      <c r="D81" s="477">
        <f>SUM(D80:D80)</f>
        <v>0</v>
      </c>
      <c r="E81" s="113">
        <f>SUM(E80:E80)</f>
        <v>1500000</v>
      </c>
    </row>
    <row r="82" spans="1:5" s="149" customFormat="1" ht="15">
      <c r="A82" s="341"/>
      <c r="B82" s="351" t="s">
        <v>59</v>
      </c>
      <c r="C82" s="111"/>
      <c r="D82" s="584"/>
      <c r="E82" s="430"/>
    </row>
    <row r="83" spans="1:5" s="149" customFormat="1" ht="15">
      <c r="A83" s="95">
        <v>2210604</v>
      </c>
      <c r="B83" s="95" t="s">
        <v>65</v>
      </c>
      <c r="C83" s="111">
        <v>1200000</v>
      </c>
      <c r="D83" s="584">
        <v>-700000</v>
      </c>
      <c r="E83" s="57">
        <f>C83+D83</f>
        <v>500000</v>
      </c>
    </row>
    <row r="84" spans="1:5" s="149" customFormat="1" ht="15.75">
      <c r="A84" s="336" t="s">
        <v>313</v>
      </c>
      <c r="B84" s="336"/>
      <c r="C84" s="113">
        <f>SUM(C83:C83)</f>
        <v>1200000</v>
      </c>
      <c r="D84" s="477">
        <f>SUM(D83:D83)</f>
        <v>-700000</v>
      </c>
      <c r="E84" s="113">
        <f>SUM(E83:E83)</f>
        <v>500000</v>
      </c>
    </row>
    <row r="85" spans="1:5" s="149" customFormat="1" ht="15">
      <c r="A85" s="341"/>
      <c r="B85" s="351" t="s">
        <v>68</v>
      </c>
      <c r="C85" s="111"/>
      <c r="D85" s="584"/>
      <c r="E85" s="430"/>
    </row>
    <row r="86" spans="1:5" s="149" customFormat="1" ht="15">
      <c r="A86" s="95" t="s">
        <v>66</v>
      </c>
      <c r="B86" s="95" t="s">
        <v>67</v>
      </c>
      <c r="C86" s="468">
        <v>6000000</v>
      </c>
      <c r="D86" s="584"/>
      <c r="E86" s="474">
        <f>C86+D86</f>
        <v>6000000</v>
      </c>
    </row>
    <row r="87" spans="1:5" s="149" customFormat="1" ht="15">
      <c r="A87" s="95" t="s">
        <v>69</v>
      </c>
      <c r="B87" s="95" t="s">
        <v>70</v>
      </c>
      <c r="C87" s="467">
        <v>3100000</v>
      </c>
      <c r="D87" s="584"/>
      <c r="E87" s="474">
        <f>C87+D87</f>
        <v>3100000</v>
      </c>
    </row>
    <row r="88" spans="1:5" s="149" customFormat="1" ht="15">
      <c r="A88" s="95" t="s">
        <v>71</v>
      </c>
      <c r="B88" s="95" t="s">
        <v>72</v>
      </c>
      <c r="C88" s="467">
        <v>2080900</v>
      </c>
      <c r="D88" s="584"/>
      <c r="E88" s="474">
        <f>C88+D88</f>
        <v>2080900</v>
      </c>
    </row>
    <row r="89" spans="1:5" s="149" customFormat="1" ht="15">
      <c r="A89" s="342" t="s">
        <v>73</v>
      </c>
      <c r="B89" s="342" t="s">
        <v>74</v>
      </c>
      <c r="C89" s="467">
        <v>2500000</v>
      </c>
      <c r="D89" s="586"/>
      <c r="E89" s="474">
        <f>C89+D89</f>
        <v>2500000</v>
      </c>
    </row>
    <row r="90" spans="1:5" s="149" customFormat="1" ht="15.75">
      <c r="A90" s="336" t="s">
        <v>313</v>
      </c>
      <c r="B90" s="336"/>
      <c r="C90" s="113">
        <f>SUM(C86:C89)</f>
        <v>13680900</v>
      </c>
      <c r="D90" s="477">
        <f>SUM(D86:D89)</f>
        <v>0</v>
      </c>
      <c r="E90" s="113">
        <f>SUM(E86:E89)</f>
        <v>13680900</v>
      </c>
    </row>
    <row r="91" spans="1:5" s="149" customFormat="1" ht="15">
      <c r="A91" s="341"/>
      <c r="B91" s="351" t="s">
        <v>84</v>
      </c>
      <c r="C91" s="111"/>
      <c r="D91" s="584"/>
      <c r="E91" s="430"/>
    </row>
    <row r="92" spans="1:5" s="149" customFormat="1" ht="15.75">
      <c r="A92" s="95" t="s">
        <v>82</v>
      </c>
      <c r="B92" s="95" t="s">
        <v>83</v>
      </c>
      <c r="C92" s="467">
        <v>6060831</v>
      </c>
      <c r="D92" s="592">
        <v>1000000</v>
      </c>
      <c r="E92" s="474">
        <f>C92+D92</f>
        <v>7060831</v>
      </c>
    </row>
    <row r="93" spans="1:5" s="149" customFormat="1" ht="15.75">
      <c r="A93" s="95" t="s">
        <v>85</v>
      </c>
      <c r="B93" s="95" t="s">
        <v>86</v>
      </c>
      <c r="C93" s="467">
        <v>5000000</v>
      </c>
      <c r="D93" s="592">
        <v>-2000000</v>
      </c>
      <c r="E93" s="474">
        <f>C93+D93</f>
        <v>3000000</v>
      </c>
    </row>
    <row r="94" spans="1:5" s="149" customFormat="1" ht="15.75">
      <c r="A94" s="95" t="s">
        <v>87</v>
      </c>
      <c r="B94" s="95" t="s">
        <v>370</v>
      </c>
      <c r="C94" s="467">
        <v>8000000</v>
      </c>
      <c r="D94" s="592">
        <v>2650000</v>
      </c>
      <c r="E94" s="474">
        <f>C94+D94</f>
        <v>10650000</v>
      </c>
    </row>
    <row r="95" spans="1:5" s="149" customFormat="1" ht="15.75">
      <c r="A95" s="336" t="s">
        <v>313</v>
      </c>
      <c r="B95" s="336"/>
      <c r="C95" s="113">
        <f>SUM(C92:C94)</f>
        <v>19060831</v>
      </c>
      <c r="D95" s="477">
        <f>SUM(D92:D94)</f>
        <v>1650000</v>
      </c>
      <c r="E95" s="113">
        <f>SUM(E92:E94)</f>
        <v>20710831</v>
      </c>
    </row>
    <row r="96" spans="1:5" s="149" customFormat="1" ht="15.75">
      <c r="A96" s="329"/>
      <c r="B96" s="352" t="s">
        <v>94</v>
      </c>
      <c r="C96" s="325"/>
      <c r="D96" s="586"/>
      <c r="E96" s="430"/>
    </row>
    <row r="97" spans="1:5" s="149" customFormat="1" ht="15.75">
      <c r="A97" s="190" t="s">
        <v>92</v>
      </c>
      <c r="B97" s="190" t="s">
        <v>93</v>
      </c>
      <c r="C97" s="331">
        <v>14000000</v>
      </c>
      <c r="D97" s="586"/>
      <c r="E97" s="57">
        <f>C97+D97</f>
        <v>14000000</v>
      </c>
    </row>
    <row r="98" spans="1:5" s="149" customFormat="1" ht="15.75">
      <c r="A98" s="190" t="s">
        <v>99</v>
      </c>
      <c r="B98" s="190" t="s">
        <v>100</v>
      </c>
      <c r="C98" s="331">
        <v>20500000</v>
      </c>
      <c r="D98" s="586"/>
      <c r="E98" s="57">
        <f>C98+D98</f>
        <v>20500000</v>
      </c>
    </row>
    <row r="99" spans="1:5" s="149" customFormat="1" ht="15.75">
      <c r="A99" s="336" t="s">
        <v>313</v>
      </c>
      <c r="B99" s="336"/>
      <c r="C99" s="113">
        <f>SUM(C97:C98)</f>
        <v>34500000</v>
      </c>
      <c r="D99" s="477">
        <f>SUM(D97:D98)</f>
        <v>0</v>
      </c>
      <c r="E99" s="113">
        <f>SUM(E97:E98)</f>
        <v>34500000</v>
      </c>
    </row>
    <row r="100" spans="1:5" s="149" customFormat="1" ht="15">
      <c r="A100" s="341"/>
      <c r="B100" s="351" t="s">
        <v>136</v>
      </c>
      <c r="C100" s="111"/>
      <c r="D100" s="584"/>
      <c r="E100" s="430"/>
    </row>
    <row r="101" spans="1:5" s="149" customFormat="1" ht="15.75">
      <c r="A101" s="190" t="s">
        <v>449</v>
      </c>
      <c r="B101" s="190" t="s">
        <v>450</v>
      </c>
      <c r="C101" s="467">
        <v>4000000</v>
      </c>
      <c r="D101" s="584"/>
      <c r="E101" s="474">
        <f>C101+D101</f>
        <v>4000000</v>
      </c>
    </row>
    <row r="102" spans="1:5" s="149" customFormat="1" ht="15">
      <c r="A102" s="95">
        <v>2211325</v>
      </c>
      <c r="B102" s="95" t="s">
        <v>373</v>
      </c>
      <c r="C102" s="468">
        <v>49410000</v>
      </c>
      <c r="D102" s="584"/>
      <c r="E102" s="474">
        <f>C102+D102</f>
        <v>49410000</v>
      </c>
    </row>
    <row r="103" spans="1:5" s="149" customFormat="1" ht="15.75">
      <c r="A103" s="336" t="s">
        <v>313</v>
      </c>
      <c r="B103" s="336"/>
      <c r="C103" s="113">
        <f>SUM(C101:C102)</f>
        <v>53410000</v>
      </c>
      <c r="D103" s="477">
        <f>SUM(D101:D102)</f>
        <v>0</v>
      </c>
      <c r="E103" s="113">
        <f>SUM(E101:E102)</f>
        <v>53410000</v>
      </c>
    </row>
    <row r="104" spans="1:5" s="149" customFormat="1" ht="15.75">
      <c r="A104" s="345"/>
      <c r="B104" s="353" t="s">
        <v>374</v>
      </c>
      <c r="C104" s="325"/>
      <c r="D104" s="586"/>
      <c r="E104" s="430"/>
    </row>
    <row r="105" spans="1:5" s="149" customFormat="1" ht="15.75">
      <c r="A105" s="190" t="s">
        <v>394</v>
      </c>
      <c r="B105" s="190" t="s">
        <v>395</v>
      </c>
      <c r="C105" s="331">
        <v>1500000</v>
      </c>
      <c r="D105" s="586"/>
      <c r="E105" s="57">
        <f>C105+D105</f>
        <v>1500000</v>
      </c>
    </row>
    <row r="106" spans="1:5" s="149" customFormat="1" ht="15.75">
      <c r="A106" s="190" t="s">
        <v>871</v>
      </c>
      <c r="B106" s="190" t="s">
        <v>329</v>
      </c>
      <c r="C106" s="169">
        <v>1800000</v>
      </c>
      <c r="D106" s="586"/>
      <c r="E106" s="57">
        <f>C106+D106</f>
        <v>1800000</v>
      </c>
    </row>
    <row r="107" spans="1:5" s="149" customFormat="1" ht="15.75">
      <c r="A107" s="343" t="s">
        <v>313</v>
      </c>
      <c r="B107" s="343"/>
      <c r="C107" s="113">
        <f>SUM(C105:C106)</f>
        <v>3300000</v>
      </c>
      <c r="D107" s="477">
        <f>SUM(D105:D106)</f>
        <v>0</v>
      </c>
      <c r="E107" s="113">
        <f>SUM(E105:E106)</f>
        <v>3300000</v>
      </c>
    </row>
    <row r="108" spans="1:5" s="149" customFormat="1" ht="31.5">
      <c r="A108" s="343"/>
      <c r="B108" s="349" t="s">
        <v>877</v>
      </c>
      <c r="C108" s="113">
        <f>SUM(C107,C103,C99,C95,C90,C84,C81,C78,C73)</f>
        <v>199137731</v>
      </c>
      <c r="D108" s="477">
        <f>SUM(D107,D103,D99,D95,D90,D84,D81,D78,D73)</f>
        <v>950000</v>
      </c>
      <c r="E108" s="113">
        <f>SUM(E107,E103,E99,E95,E90,E84,E81,E78,E73)</f>
        <v>200087731</v>
      </c>
    </row>
    <row r="109" spans="1:6" s="149" customFormat="1" ht="31.5">
      <c r="A109" s="343"/>
      <c r="B109" s="349" t="s">
        <v>878</v>
      </c>
      <c r="C109" s="113">
        <f>SUM(C108,C68)</f>
        <v>545993330</v>
      </c>
      <c r="D109" s="477">
        <f>SUM(D108,D68)</f>
        <v>950000</v>
      </c>
      <c r="E109" s="113">
        <f>SUM(E108,E68)</f>
        <v>546943330</v>
      </c>
      <c r="F109" s="357"/>
    </row>
    <row r="110" spans="1:5" s="149" customFormat="1" ht="15.75">
      <c r="A110" s="329">
        <v>10103</v>
      </c>
      <c r="B110" s="329" t="s">
        <v>945</v>
      </c>
      <c r="C110" s="325"/>
      <c r="D110" s="586"/>
      <c r="E110" s="430"/>
    </row>
    <row r="111" spans="1:5" s="149" customFormat="1" ht="15.75">
      <c r="A111" s="339">
        <v>2100000</v>
      </c>
      <c r="B111" s="350" t="s">
        <v>678</v>
      </c>
      <c r="C111" s="330"/>
      <c r="D111" s="586"/>
      <c r="E111" s="430"/>
    </row>
    <row r="112" spans="1:5" s="149" customFormat="1" ht="15">
      <c r="A112" s="374">
        <v>2110101</v>
      </c>
      <c r="B112" s="375" t="s">
        <v>364</v>
      </c>
      <c r="C112" s="468">
        <v>100227159</v>
      </c>
      <c r="D112" s="586"/>
      <c r="E112" s="474">
        <f aca="true" t="shared" si="2" ref="E112:E117">C112+D112</f>
        <v>100227159</v>
      </c>
    </row>
    <row r="113" spans="1:5" s="149" customFormat="1" ht="15">
      <c r="A113" s="376">
        <v>2110301</v>
      </c>
      <c r="B113" s="375" t="s">
        <v>4</v>
      </c>
      <c r="C113" s="468">
        <v>39626719</v>
      </c>
      <c r="D113" s="586"/>
      <c r="E113" s="474">
        <f t="shared" si="2"/>
        <v>39626719</v>
      </c>
    </row>
    <row r="114" spans="1:5" s="149" customFormat="1" ht="15">
      <c r="A114" s="376">
        <v>2110314</v>
      </c>
      <c r="B114" s="375" t="s">
        <v>365</v>
      </c>
      <c r="C114" s="468">
        <v>12924000</v>
      </c>
      <c r="D114" s="586"/>
      <c r="E114" s="474">
        <f t="shared" si="2"/>
        <v>12924000</v>
      </c>
    </row>
    <row r="115" spans="1:5" s="149" customFormat="1" ht="15">
      <c r="A115" s="376">
        <v>2110502</v>
      </c>
      <c r="B115" s="375" t="s">
        <v>198</v>
      </c>
      <c r="C115" s="468">
        <v>360000</v>
      </c>
      <c r="D115" s="586"/>
      <c r="E115" s="474">
        <f t="shared" si="2"/>
        <v>360000</v>
      </c>
    </row>
    <row r="116" spans="1:5" s="149" customFormat="1" ht="15">
      <c r="A116" s="376">
        <v>2110405</v>
      </c>
      <c r="B116" s="375" t="s">
        <v>367</v>
      </c>
      <c r="C116" s="468">
        <v>3852000</v>
      </c>
      <c r="D116" s="586"/>
      <c r="E116" s="474">
        <f t="shared" si="2"/>
        <v>3852000</v>
      </c>
    </row>
    <row r="117" spans="1:5" s="149" customFormat="1" ht="15">
      <c r="A117" s="376">
        <v>2120103</v>
      </c>
      <c r="B117" s="375" t="s">
        <v>368</v>
      </c>
      <c r="C117" s="468">
        <v>18729755</v>
      </c>
      <c r="D117" s="586"/>
      <c r="E117" s="474">
        <f t="shared" si="2"/>
        <v>18729755</v>
      </c>
    </row>
    <row r="118" spans="1:5" s="149" customFormat="1" ht="15.75">
      <c r="A118" s="343" t="s">
        <v>313</v>
      </c>
      <c r="B118" s="343"/>
      <c r="C118" s="359">
        <f>SUM(C112:C117)</f>
        <v>175719633</v>
      </c>
      <c r="D118" s="585">
        <f>SUM(D112:D117)</f>
        <v>0</v>
      </c>
      <c r="E118" s="359">
        <f>SUM(E112:E117)</f>
        <v>175719633</v>
      </c>
    </row>
    <row r="119" spans="1:5" s="149" customFormat="1" ht="15">
      <c r="A119" s="341"/>
      <c r="B119" s="351" t="s">
        <v>21</v>
      </c>
      <c r="C119" s="111"/>
      <c r="D119" s="586"/>
      <c r="E119" s="430"/>
    </row>
    <row r="120" spans="1:5" s="149" customFormat="1" ht="15">
      <c r="A120" s="95" t="s">
        <v>19</v>
      </c>
      <c r="B120" s="95" t="s">
        <v>20</v>
      </c>
      <c r="C120" s="467">
        <v>1000000</v>
      </c>
      <c r="D120" s="586"/>
      <c r="E120" s="474">
        <f>C120+D120</f>
        <v>1000000</v>
      </c>
    </row>
    <row r="121" spans="1:5" s="149" customFormat="1" ht="15">
      <c r="A121" s="95" t="s">
        <v>22</v>
      </c>
      <c r="B121" s="95" t="s">
        <v>23</v>
      </c>
      <c r="C121" s="467">
        <v>150000</v>
      </c>
      <c r="D121" s="586">
        <v>-50000</v>
      </c>
      <c r="E121" s="474">
        <f>C121+D121</f>
        <v>100000</v>
      </c>
    </row>
    <row r="122" spans="1:5" s="149" customFormat="1" ht="15.75">
      <c r="A122" s="335" t="s">
        <v>313</v>
      </c>
      <c r="B122" s="335"/>
      <c r="C122" s="112">
        <f>SUM(C120:C121)</f>
        <v>1150000</v>
      </c>
      <c r="D122" s="478">
        <f>SUM(D120:D121)</f>
        <v>-50000</v>
      </c>
      <c r="E122" s="112">
        <f>SUM(E120:E121)</f>
        <v>1100000</v>
      </c>
    </row>
    <row r="123" spans="1:5" s="149" customFormat="1" ht="15">
      <c r="A123" s="341"/>
      <c r="B123" s="351" t="s">
        <v>28</v>
      </c>
      <c r="C123" s="111"/>
      <c r="D123" s="586"/>
      <c r="E123" s="430"/>
    </row>
    <row r="124" spans="1:5" s="149" customFormat="1" ht="15.75">
      <c r="A124" s="344" t="s">
        <v>26</v>
      </c>
      <c r="B124" s="190" t="s">
        <v>27</v>
      </c>
      <c r="C124" s="467">
        <v>60000</v>
      </c>
      <c r="D124" s="592">
        <v>-50000</v>
      </c>
      <c r="E124" s="474">
        <f>C124+D124</f>
        <v>10000</v>
      </c>
    </row>
    <row r="125" spans="1:5" s="149" customFormat="1" ht="15.75">
      <c r="A125" s="344" t="s">
        <v>29</v>
      </c>
      <c r="B125" s="190" t="s">
        <v>30</v>
      </c>
      <c r="C125" s="467">
        <v>1550000</v>
      </c>
      <c r="D125" s="592">
        <v>-50000</v>
      </c>
      <c r="E125" s="474">
        <f>C125+D125</f>
        <v>1500000</v>
      </c>
    </row>
    <row r="126" spans="1:5" s="149" customFormat="1" ht="15.75">
      <c r="A126" s="344" t="s">
        <v>31</v>
      </c>
      <c r="B126" s="190" t="s">
        <v>32</v>
      </c>
      <c r="C126" s="467">
        <v>60000</v>
      </c>
      <c r="D126" s="592">
        <v>-60000</v>
      </c>
      <c r="E126" s="474">
        <f>C126+D126</f>
        <v>0</v>
      </c>
    </row>
    <row r="127" spans="1:5" s="149" customFormat="1" ht="15.75">
      <c r="A127" s="346">
        <v>2210206</v>
      </c>
      <c r="B127" s="346" t="s">
        <v>870</v>
      </c>
      <c r="C127" s="467">
        <v>150000</v>
      </c>
      <c r="D127" s="592">
        <v>-150000</v>
      </c>
      <c r="E127" s="474">
        <f>C127+D127</f>
        <v>0</v>
      </c>
    </row>
    <row r="128" spans="1:5" s="149" customFormat="1" ht="15.75">
      <c r="A128" s="336" t="s">
        <v>313</v>
      </c>
      <c r="B128" s="336"/>
      <c r="C128" s="113">
        <f>SUM(C124:C127)</f>
        <v>1820000</v>
      </c>
      <c r="D128" s="477">
        <f>SUM(D124:D127)</f>
        <v>-310000</v>
      </c>
      <c r="E128" s="113">
        <f>SUM(E124:E127)</f>
        <v>1510000</v>
      </c>
    </row>
    <row r="129" spans="1:5" s="149" customFormat="1" ht="15">
      <c r="A129" s="95"/>
      <c r="B129" s="351" t="s">
        <v>369</v>
      </c>
      <c r="C129" s="111"/>
      <c r="D129" s="586"/>
      <c r="E129" s="430"/>
    </row>
    <row r="130" spans="1:5" s="149" customFormat="1" ht="15.75">
      <c r="A130" s="95" t="s">
        <v>33</v>
      </c>
      <c r="B130" s="95" t="s">
        <v>34</v>
      </c>
      <c r="C130" s="467">
        <v>4568000</v>
      </c>
      <c r="D130" s="592">
        <v>472892</v>
      </c>
      <c r="E130" s="474">
        <f>C130+D130</f>
        <v>5040892</v>
      </c>
    </row>
    <row r="131" spans="1:5" s="149" customFormat="1" ht="15.75">
      <c r="A131" s="95" t="s">
        <v>36</v>
      </c>
      <c r="B131" s="95" t="s">
        <v>37</v>
      </c>
      <c r="C131" s="467">
        <v>10196000</v>
      </c>
      <c r="D131" s="592">
        <v>500000</v>
      </c>
      <c r="E131" s="474">
        <f>C131+D131</f>
        <v>10696000</v>
      </c>
    </row>
    <row r="132" spans="1:5" s="149" customFormat="1" ht="15.75">
      <c r="A132" s="95" t="s">
        <v>38</v>
      </c>
      <c r="B132" s="95" t="s">
        <v>39</v>
      </c>
      <c r="C132" s="467">
        <v>10690000</v>
      </c>
      <c r="D132" s="592">
        <v>500000</v>
      </c>
      <c r="E132" s="474">
        <f>C132+D132</f>
        <v>11190000</v>
      </c>
    </row>
    <row r="133" spans="1:5" s="149" customFormat="1" ht="15.75">
      <c r="A133" s="336" t="s">
        <v>313</v>
      </c>
      <c r="B133" s="336"/>
      <c r="C133" s="113">
        <f>SUM(C130:C132)</f>
        <v>25454000</v>
      </c>
      <c r="D133" s="477">
        <f>SUM(D130:D132)</f>
        <v>1472892</v>
      </c>
      <c r="E133" s="113">
        <f>SUM(E130:E132)</f>
        <v>26926892</v>
      </c>
    </row>
    <row r="134" spans="1:5" s="149" customFormat="1" ht="15">
      <c r="A134" s="341"/>
      <c r="B134" s="351" t="s">
        <v>44</v>
      </c>
      <c r="C134" s="111"/>
      <c r="D134" s="586"/>
      <c r="E134" s="430"/>
    </row>
    <row r="135" spans="1:5" s="149" customFormat="1" ht="15">
      <c r="A135" s="95" t="s">
        <v>42</v>
      </c>
      <c r="B135" s="95" t="s">
        <v>43</v>
      </c>
      <c r="C135" s="467">
        <v>2000000</v>
      </c>
      <c r="D135" s="586"/>
      <c r="E135" s="474">
        <f>C135+D135</f>
        <v>2000000</v>
      </c>
    </row>
    <row r="136" spans="1:5" s="149" customFormat="1" ht="15">
      <c r="A136" s="95" t="s">
        <v>45</v>
      </c>
      <c r="B136" s="95" t="s">
        <v>46</v>
      </c>
      <c r="C136" s="467">
        <v>4000000</v>
      </c>
      <c r="D136" s="586"/>
      <c r="E136" s="474">
        <f>C136+D136</f>
        <v>4000000</v>
      </c>
    </row>
    <row r="137" spans="1:5" s="149" customFormat="1" ht="15">
      <c r="A137" s="95" t="s">
        <v>47</v>
      </c>
      <c r="B137" s="95" t="s">
        <v>39</v>
      </c>
      <c r="C137" s="467">
        <v>3000000</v>
      </c>
      <c r="D137" s="586"/>
      <c r="E137" s="474">
        <f>C137+D137</f>
        <v>3000000</v>
      </c>
    </row>
    <row r="138" spans="1:5" s="149" customFormat="1" ht="15.75">
      <c r="A138" s="335" t="s">
        <v>313</v>
      </c>
      <c r="B138" s="335"/>
      <c r="C138" s="113">
        <f>SUM(C135:C137)</f>
        <v>9000000</v>
      </c>
      <c r="D138" s="477">
        <f>SUM(D135:D137)</f>
        <v>0</v>
      </c>
      <c r="E138" s="113">
        <f>SUM(E135:E137)</f>
        <v>9000000</v>
      </c>
    </row>
    <row r="139" spans="1:5" s="149" customFormat="1" ht="15">
      <c r="A139" s="341"/>
      <c r="B139" s="351" t="s">
        <v>50</v>
      </c>
      <c r="C139" s="111"/>
      <c r="D139" s="586"/>
      <c r="E139" s="430"/>
    </row>
    <row r="140" spans="1:6" s="149" customFormat="1" ht="15.75">
      <c r="A140" s="704" t="s">
        <v>51</v>
      </c>
      <c r="B140" s="704" t="s">
        <v>52</v>
      </c>
      <c r="C140" s="705">
        <v>6493485</v>
      </c>
      <c r="D140" s="706">
        <f>-2400000-245219</f>
        <v>-2645219</v>
      </c>
      <c r="E140" s="707">
        <f>C140+D140</f>
        <v>3848266</v>
      </c>
      <c r="F140" s="68" t="s">
        <v>1059</v>
      </c>
    </row>
    <row r="141" spans="1:6" s="149" customFormat="1" ht="15.75">
      <c r="A141" s="704">
        <v>2210503</v>
      </c>
      <c r="B141" s="704" t="s">
        <v>54</v>
      </c>
      <c r="C141" s="705">
        <v>510000</v>
      </c>
      <c r="D141" s="706">
        <f>-500000+245219</f>
        <v>-254781</v>
      </c>
      <c r="E141" s="707">
        <f>C141+D141</f>
        <v>255219</v>
      </c>
      <c r="F141" s="68" t="s">
        <v>1060</v>
      </c>
    </row>
    <row r="142" spans="1:6" s="149" customFormat="1" ht="15.75">
      <c r="A142" s="95" t="s">
        <v>55</v>
      </c>
      <c r="B142" s="95" t="s">
        <v>56</v>
      </c>
      <c r="C142" s="468">
        <v>1512212</v>
      </c>
      <c r="D142" s="592">
        <v>-1300000</v>
      </c>
      <c r="E142" s="474">
        <f>C142+D142</f>
        <v>212212</v>
      </c>
      <c r="F142" s="68"/>
    </row>
    <row r="143" spans="1:6" s="149" customFormat="1" ht="15.75">
      <c r="A143" s="95">
        <v>2210505</v>
      </c>
      <c r="B143" s="95" t="s">
        <v>58</v>
      </c>
      <c r="C143" s="468">
        <v>1085000</v>
      </c>
      <c r="D143" s="592">
        <v>-1085000</v>
      </c>
      <c r="E143" s="474">
        <f>C143+D143</f>
        <v>0</v>
      </c>
      <c r="F143" s="68"/>
    </row>
    <row r="144" spans="1:6" s="149" customFormat="1" ht="15.75">
      <c r="A144" s="336" t="s">
        <v>313</v>
      </c>
      <c r="B144" s="336"/>
      <c r="C144" s="113">
        <f>SUM(C140:C143)</f>
        <v>9600697</v>
      </c>
      <c r="D144" s="477">
        <f>SUM(D140:D143)</f>
        <v>-5285000</v>
      </c>
      <c r="E144" s="113">
        <f>SUM(E140:E143)</f>
        <v>4315697</v>
      </c>
      <c r="F144" s="68"/>
    </row>
    <row r="145" spans="1:6" s="149" customFormat="1" ht="15">
      <c r="A145" s="341"/>
      <c r="B145" s="351" t="s">
        <v>68</v>
      </c>
      <c r="C145" s="111"/>
      <c r="D145" s="586"/>
      <c r="E145" s="430"/>
      <c r="F145" s="68"/>
    </row>
    <row r="146" spans="1:6" s="149" customFormat="1" ht="15">
      <c r="A146" s="704" t="s">
        <v>66</v>
      </c>
      <c r="B146" s="704" t="s">
        <v>67</v>
      </c>
      <c r="C146" s="708">
        <v>2500000</v>
      </c>
      <c r="D146" s="709">
        <v>-35200</v>
      </c>
      <c r="E146" s="707">
        <f>C146+D146</f>
        <v>2464800</v>
      </c>
      <c r="F146" s="68" t="s">
        <v>1061</v>
      </c>
    </row>
    <row r="147" spans="1:6" s="149" customFormat="1" ht="15">
      <c r="A147" s="95" t="s">
        <v>69</v>
      </c>
      <c r="B147" s="95" t="s">
        <v>70</v>
      </c>
      <c r="C147" s="468">
        <v>2000000</v>
      </c>
      <c r="D147" s="586"/>
      <c r="E147" s="474">
        <f>C147+D147</f>
        <v>2000000</v>
      </c>
      <c r="F147" s="68"/>
    </row>
    <row r="148" spans="1:6" s="149" customFormat="1" ht="15.75">
      <c r="A148" s="704" t="s">
        <v>71</v>
      </c>
      <c r="B148" s="704" t="s">
        <v>72</v>
      </c>
      <c r="C148" s="705">
        <v>1500000</v>
      </c>
      <c r="D148" s="706">
        <f>-1000000+35200</f>
        <v>-964800</v>
      </c>
      <c r="E148" s="707">
        <f>C148+D148</f>
        <v>535200</v>
      </c>
      <c r="F148" s="68" t="s">
        <v>1062</v>
      </c>
    </row>
    <row r="149" spans="1:6" s="149" customFormat="1" ht="15.75">
      <c r="A149" s="342" t="s">
        <v>73</v>
      </c>
      <c r="B149" s="342" t="s">
        <v>74</v>
      </c>
      <c r="C149" s="468">
        <v>1500000</v>
      </c>
      <c r="D149" s="592">
        <v>-1500000</v>
      </c>
      <c r="E149" s="474">
        <f>C149+D149</f>
        <v>0</v>
      </c>
      <c r="F149" s="68"/>
    </row>
    <row r="150" spans="1:5" s="149" customFormat="1" ht="15.75">
      <c r="A150" s="336" t="s">
        <v>313</v>
      </c>
      <c r="B150" s="336"/>
      <c r="C150" s="113">
        <f>SUM(C146:C149)</f>
        <v>7500000</v>
      </c>
      <c r="D150" s="477">
        <f>SUM(D146:D149)</f>
        <v>-2500000</v>
      </c>
      <c r="E150" s="113">
        <f>SUM(E146:E149)</f>
        <v>5000000</v>
      </c>
    </row>
    <row r="151" spans="1:5" s="149" customFormat="1" ht="15">
      <c r="A151" s="341"/>
      <c r="B151" s="351" t="s">
        <v>84</v>
      </c>
      <c r="C151" s="111"/>
      <c r="D151" s="586"/>
      <c r="E151" s="430"/>
    </row>
    <row r="152" spans="1:5" s="149" customFormat="1" ht="15">
      <c r="A152" s="95" t="s">
        <v>82</v>
      </c>
      <c r="B152" s="95" t="s">
        <v>83</v>
      </c>
      <c r="C152" s="468">
        <v>1500000</v>
      </c>
      <c r="D152" s="586"/>
      <c r="E152" s="474">
        <f>C152+D152</f>
        <v>1500000</v>
      </c>
    </row>
    <row r="153" spans="1:5" s="149" customFormat="1" ht="15">
      <c r="A153" s="95" t="s">
        <v>85</v>
      </c>
      <c r="B153" s="95" t="s">
        <v>86</v>
      </c>
      <c r="C153" s="468">
        <v>1000000</v>
      </c>
      <c r="D153" s="586"/>
      <c r="E153" s="474">
        <f>C153+D153</f>
        <v>1000000</v>
      </c>
    </row>
    <row r="154" spans="1:5" s="149" customFormat="1" ht="15">
      <c r="A154" s="95" t="s">
        <v>87</v>
      </c>
      <c r="B154" s="95" t="s">
        <v>370</v>
      </c>
      <c r="C154" s="468">
        <v>12000000</v>
      </c>
      <c r="D154" s="586"/>
      <c r="E154" s="474">
        <f>C154+D154</f>
        <v>12000000</v>
      </c>
    </row>
    <row r="155" spans="1:5" s="149" customFormat="1" ht="15.75">
      <c r="A155" s="336" t="s">
        <v>313</v>
      </c>
      <c r="B155" s="336"/>
      <c r="C155" s="113">
        <f>SUM(C152:C154)</f>
        <v>14500000</v>
      </c>
      <c r="D155" s="477">
        <f>SUM(D152:D154)</f>
        <v>0</v>
      </c>
      <c r="E155" s="113">
        <f>SUM(E152:E154)</f>
        <v>14500000</v>
      </c>
    </row>
    <row r="156" spans="1:5" s="149" customFormat="1" ht="15.75">
      <c r="A156" s="329"/>
      <c r="B156" s="352" t="s">
        <v>94</v>
      </c>
      <c r="C156" s="325"/>
      <c r="D156" s="586"/>
      <c r="E156" s="430"/>
    </row>
    <row r="157" spans="1:5" s="149" customFormat="1" ht="15.75">
      <c r="A157" s="190">
        <v>2210902</v>
      </c>
      <c r="B157" s="190" t="s">
        <v>340</v>
      </c>
      <c r="C157" s="467">
        <v>1000000</v>
      </c>
      <c r="D157" s="586">
        <v>-1000000</v>
      </c>
      <c r="E157" s="474">
        <f>C157+D157</f>
        <v>0</v>
      </c>
    </row>
    <row r="158" spans="1:5" s="149" customFormat="1" ht="15.75">
      <c r="A158" s="190" t="s">
        <v>97</v>
      </c>
      <c r="B158" s="190" t="s">
        <v>98</v>
      </c>
      <c r="C158" s="467">
        <v>1500000</v>
      </c>
      <c r="D158" s="586"/>
      <c r="E158" s="474">
        <f>C158+D158</f>
        <v>1500000</v>
      </c>
    </row>
    <row r="159" spans="1:5" s="149" customFormat="1" ht="15.75">
      <c r="A159" s="190" t="s">
        <v>99</v>
      </c>
      <c r="B159" s="190" t="s">
        <v>100</v>
      </c>
      <c r="C159" s="467">
        <v>20500000</v>
      </c>
      <c r="D159" s="586">
        <v>-800000</v>
      </c>
      <c r="E159" s="474">
        <f>C159+D159</f>
        <v>19700000</v>
      </c>
    </row>
    <row r="160" spans="1:5" s="149" customFormat="1" ht="15.75">
      <c r="A160" s="336" t="s">
        <v>313</v>
      </c>
      <c r="B160" s="336"/>
      <c r="C160" s="113">
        <f>SUM(C157:C159)</f>
        <v>23000000</v>
      </c>
      <c r="D160" s="477">
        <f>SUM(D157:D159)</f>
        <v>-1800000</v>
      </c>
      <c r="E160" s="113">
        <f>SUM(E157:E159)</f>
        <v>21200000</v>
      </c>
    </row>
    <row r="161" spans="1:5" s="149" customFormat="1" ht="15.75">
      <c r="A161" s="381"/>
      <c r="B161" s="382" t="s">
        <v>101</v>
      </c>
      <c r="C161" s="325"/>
      <c r="D161" s="586"/>
      <c r="E161" s="430"/>
    </row>
    <row r="162" spans="1:5" s="149" customFormat="1" ht="15.75">
      <c r="A162" s="383">
        <v>2211009</v>
      </c>
      <c r="B162" s="377" t="s">
        <v>111</v>
      </c>
      <c r="C162" s="469">
        <v>1000000</v>
      </c>
      <c r="D162" s="592">
        <v>-1000000</v>
      </c>
      <c r="E162" s="474">
        <f>C162+D162</f>
        <v>0</v>
      </c>
    </row>
    <row r="163" spans="1:5" s="149" customFormat="1" ht="15.75">
      <c r="A163" s="384">
        <v>2211016</v>
      </c>
      <c r="B163" s="377" t="s">
        <v>905</v>
      </c>
      <c r="C163" s="469">
        <v>3050000</v>
      </c>
      <c r="D163" s="592">
        <v>-1050000</v>
      </c>
      <c r="E163" s="474">
        <f>C163+D163</f>
        <v>2000000</v>
      </c>
    </row>
    <row r="164" spans="1:5" s="149" customFormat="1" ht="15.75">
      <c r="A164" s="336" t="s">
        <v>313</v>
      </c>
      <c r="B164" s="336"/>
      <c r="C164" s="113">
        <f>SUM(C162:C163)</f>
        <v>4050000</v>
      </c>
      <c r="D164" s="477">
        <f>SUM(D162:D163)</f>
        <v>-2050000</v>
      </c>
      <c r="E164" s="113">
        <f>SUM(E162:E163)</f>
        <v>2000000</v>
      </c>
    </row>
    <row r="165" spans="1:5" s="149" customFormat="1" ht="15.75">
      <c r="A165" s="379"/>
      <c r="B165" s="380" t="s">
        <v>124</v>
      </c>
      <c r="C165" s="325"/>
      <c r="D165" s="586"/>
      <c r="E165" s="430"/>
    </row>
    <row r="166" spans="1:5" s="149" customFormat="1" ht="15.75">
      <c r="A166" s="377" t="s">
        <v>122</v>
      </c>
      <c r="B166" s="375" t="s">
        <v>123</v>
      </c>
      <c r="C166" s="468">
        <v>7085642</v>
      </c>
      <c r="D166" s="592">
        <v>2500000</v>
      </c>
      <c r="E166" s="474">
        <f>C166+D166</f>
        <v>9585642</v>
      </c>
    </row>
    <row r="167" spans="1:5" s="149" customFormat="1" ht="15.75">
      <c r="A167" s="377" t="s">
        <v>125</v>
      </c>
      <c r="B167" s="375" t="s">
        <v>126</v>
      </c>
      <c r="C167" s="468">
        <v>6585065</v>
      </c>
      <c r="D167" s="592">
        <v>1000000</v>
      </c>
      <c r="E167" s="474">
        <f>C167+D167</f>
        <v>7585065</v>
      </c>
    </row>
    <row r="168" spans="1:5" s="149" customFormat="1" ht="15">
      <c r="A168" s="377" t="s">
        <v>127</v>
      </c>
      <c r="B168" s="375" t="s">
        <v>906</v>
      </c>
      <c r="C168" s="468">
        <v>3887543</v>
      </c>
      <c r="D168" s="586"/>
      <c r="E168" s="474">
        <f>C168+D168</f>
        <v>3887543</v>
      </c>
    </row>
    <row r="169" spans="1:5" s="149" customFormat="1" ht="15.75">
      <c r="A169" s="933" t="s">
        <v>313</v>
      </c>
      <c r="B169" s="933"/>
      <c r="C169" s="113">
        <f>SUM(C166:C168)</f>
        <v>17558250</v>
      </c>
      <c r="D169" s="477">
        <f>SUM(D166:D168)</f>
        <v>3500000</v>
      </c>
      <c r="E169" s="113">
        <f>SUM(E166:E168)</f>
        <v>21058250</v>
      </c>
    </row>
    <row r="170" spans="1:5" s="149" customFormat="1" ht="15">
      <c r="A170" s="341"/>
      <c r="B170" s="351" t="s">
        <v>131</v>
      </c>
      <c r="C170" s="111"/>
      <c r="D170" s="586"/>
      <c r="E170" s="430"/>
    </row>
    <row r="171" spans="1:5" s="149" customFormat="1" ht="15">
      <c r="A171" s="95" t="s">
        <v>129</v>
      </c>
      <c r="B171" s="95" t="s">
        <v>130</v>
      </c>
      <c r="C171" s="467">
        <v>3000000</v>
      </c>
      <c r="D171" s="586"/>
      <c r="E171" s="474">
        <f>C171+D171</f>
        <v>3000000</v>
      </c>
    </row>
    <row r="172" spans="1:5" s="149" customFormat="1" ht="15">
      <c r="A172" s="340" t="s">
        <v>132</v>
      </c>
      <c r="B172" s="95" t="s">
        <v>371</v>
      </c>
      <c r="C172" s="467">
        <v>600000</v>
      </c>
      <c r="D172" s="586">
        <v>-500000</v>
      </c>
      <c r="E172" s="474">
        <f>C172+D172</f>
        <v>100000</v>
      </c>
    </row>
    <row r="173" spans="1:5" s="149" customFormat="1" ht="15.75">
      <c r="A173" s="337" t="s">
        <v>313</v>
      </c>
      <c r="B173" s="354"/>
      <c r="C173" s="326">
        <f>SUM(C171:C172)</f>
        <v>3600000</v>
      </c>
      <c r="D173" s="587">
        <f>SUM(D171:D172)</f>
        <v>-500000</v>
      </c>
      <c r="E173" s="326">
        <f>SUM(E171:E172)</f>
        <v>3100000</v>
      </c>
    </row>
    <row r="174" spans="1:5" s="149" customFormat="1" ht="15">
      <c r="A174" s="341"/>
      <c r="B174" s="351" t="s">
        <v>136</v>
      </c>
      <c r="C174" s="111"/>
      <c r="D174" s="586"/>
      <c r="E174" s="430"/>
    </row>
    <row r="175" spans="1:5" s="149" customFormat="1" ht="15">
      <c r="A175" s="377" t="s">
        <v>134</v>
      </c>
      <c r="B175" s="375" t="s">
        <v>135</v>
      </c>
      <c r="C175" s="467">
        <v>120900</v>
      </c>
      <c r="D175" s="586"/>
      <c r="E175" s="474">
        <f>C175+D175</f>
        <v>120900</v>
      </c>
    </row>
    <row r="176" spans="1:5" s="149" customFormat="1" ht="15">
      <c r="A176" s="377" t="s">
        <v>139</v>
      </c>
      <c r="B176" s="375" t="s">
        <v>140</v>
      </c>
      <c r="C176" s="467">
        <v>500000</v>
      </c>
      <c r="D176" s="586">
        <v>1000000</v>
      </c>
      <c r="E176" s="474">
        <f aca="true" t="shared" si="3" ref="E176:E182">C176+D176</f>
        <v>1500000</v>
      </c>
    </row>
    <row r="177" spans="1:5" s="149" customFormat="1" ht="15">
      <c r="A177" s="378">
        <v>2211307</v>
      </c>
      <c r="B177" s="375" t="s">
        <v>907</v>
      </c>
      <c r="C177" s="467">
        <v>30000</v>
      </c>
      <c r="D177" s="586"/>
      <c r="E177" s="474">
        <f t="shared" si="3"/>
        <v>30000</v>
      </c>
    </row>
    <row r="178" spans="1:5" s="149" customFormat="1" ht="15">
      <c r="A178" s="378">
        <v>2211308</v>
      </c>
      <c r="B178" s="375" t="s">
        <v>372</v>
      </c>
      <c r="C178" s="467">
        <v>5000000</v>
      </c>
      <c r="D178" s="586">
        <v>-3000000</v>
      </c>
      <c r="E178" s="474">
        <f t="shared" si="3"/>
        <v>2000000</v>
      </c>
    </row>
    <row r="179" spans="1:5" s="149" customFormat="1" ht="15">
      <c r="A179" s="378">
        <v>2211313</v>
      </c>
      <c r="B179" s="375" t="s">
        <v>146</v>
      </c>
      <c r="C179" s="467">
        <v>4172000</v>
      </c>
      <c r="D179" s="586"/>
      <c r="E179" s="474">
        <f t="shared" si="3"/>
        <v>4172000</v>
      </c>
    </row>
    <row r="180" spans="1:5" s="149" customFormat="1" ht="15">
      <c r="A180" s="378">
        <v>2211322</v>
      </c>
      <c r="B180" s="375" t="s">
        <v>908</v>
      </c>
      <c r="C180" s="467">
        <v>500000</v>
      </c>
      <c r="D180" s="586"/>
      <c r="E180" s="474">
        <f t="shared" si="3"/>
        <v>500000</v>
      </c>
    </row>
    <row r="181" spans="1:7" s="149" customFormat="1" ht="15.75">
      <c r="A181" s="378"/>
      <c r="B181" s="593" t="s">
        <v>1047</v>
      </c>
      <c r="C181" s="594"/>
      <c r="D181" s="595">
        <v>8622108</v>
      </c>
      <c r="E181" s="474">
        <f t="shared" si="3"/>
        <v>8622108</v>
      </c>
      <c r="F181" s="594"/>
      <c r="G181" s="595"/>
    </row>
    <row r="182" spans="1:5" s="149" customFormat="1" ht="15">
      <c r="A182" s="378"/>
      <c r="B182" s="375" t="s">
        <v>909</v>
      </c>
      <c r="C182" s="467">
        <v>30000000</v>
      </c>
      <c r="D182" s="586"/>
      <c r="E182" s="474">
        <f t="shared" si="3"/>
        <v>30000000</v>
      </c>
    </row>
    <row r="183" spans="1:5" ht="15.75">
      <c r="A183" s="336" t="s">
        <v>313</v>
      </c>
      <c r="B183" s="336"/>
      <c r="C183" s="113">
        <f>SUM(C175:C182)</f>
        <v>40322900</v>
      </c>
      <c r="D183" s="477">
        <f>SUM(D175:D182)</f>
        <v>6622108</v>
      </c>
      <c r="E183" s="113">
        <f>SUM(E175:E182)</f>
        <v>46945008</v>
      </c>
    </row>
    <row r="184" spans="1:5" ht="15.75">
      <c r="A184" s="345"/>
      <c r="B184" s="353" t="s">
        <v>374</v>
      </c>
      <c r="C184" s="325"/>
      <c r="D184" s="584"/>
      <c r="E184" s="96"/>
    </row>
    <row r="185" spans="1:5" ht="15">
      <c r="A185" s="378">
        <v>3111001</v>
      </c>
      <c r="B185" s="377" t="s">
        <v>913</v>
      </c>
      <c r="C185" s="470">
        <v>15000000</v>
      </c>
      <c r="D185" s="584"/>
      <c r="E185" s="473">
        <f>C185+D185</f>
        <v>15000000</v>
      </c>
    </row>
    <row r="186" spans="1:5" ht="15">
      <c r="A186" s="378">
        <v>3111111</v>
      </c>
      <c r="B186" s="377" t="s">
        <v>914</v>
      </c>
      <c r="C186" s="470">
        <v>14142108</v>
      </c>
      <c r="D186" s="584"/>
      <c r="E186" s="473">
        <f>C186+D186</f>
        <v>14142108</v>
      </c>
    </row>
    <row r="187" spans="1:5" ht="15.75">
      <c r="A187" s="343" t="s">
        <v>313</v>
      </c>
      <c r="B187" s="343"/>
      <c r="C187" s="113">
        <f>SUM(C185:C186)</f>
        <v>29142108</v>
      </c>
      <c r="D187" s="477">
        <f>SUM(D185:D186)</f>
        <v>0</v>
      </c>
      <c r="E187" s="113">
        <f>SUM(E185:E186)</f>
        <v>29142108</v>
      </c>
    </row>
    <row r="188" spans="1:5" s="149" customFormat="1" ht="15.75">
      <c r="A188" s="329"/>
      <c r="B188" s="353" t="s">
        <v>151</v>
      </c>
      <c r="C188" s="325"/>
      <c r="D188" s="586"/>
      <c r="E188" s="430"/>
    </row>
    <row r="189" spans="1:5" s="149" customFormat="1" ht="15.75">
      <c r="A189" s="190" t="s">
        <v>149</v>
      </c>
      <c r="B189" s="190" t="s">
        <v>150</v>
      </c>
      <c r="C189" s="331">
        <v>3000000</v>
      </c>
      <c r="D189" s="586"/>
      <c r="E189" s="57">
        <f>C189+D189</f>
        <v>3000000</v>
      </c>
    </row>
    <row r="190" spans="1:5" s="149" customFormat="1" ht="15.75">
      <c r="A190" s="336" t="s">
        <v>313</v>
      </c>
      <c r="B190" s="336"/>
      <c r="C190" s="113">
        <f>SUM(C189)</f>
        <v>3000000</v>
      </c>
      <c r="D190" s="477">
        <f>SUM(D189)</f>
        <v>0</v>
      </c>
      <c r="E190" s="113">
        <f>SUM(E189)</f>
        <v>3000000</v>
      </c>
    </row>
    <row r="191" spans="1:5" s="149" customFormat="1" ht="15.75">
      <c r="A191" s="329"/>
      <c r="B191" s="353" t="s">
        <v>154</v>
      </c>
      <c r="C191" s="325"/>
      <c r="D191" s="586"/>
      <c r="E191" s="430"/>
    </row>
    <row r="192" spans="1:5" s="149" customFormat="1" ht="15">
      <c r="A192" s="378">
        <v>2220202</v>
      </c>
      <c r="B192" s="375" t="s">
        <v>910</v>
      </c>
      <c r="C192" s="467">
        <v>2000000</v>
      </c>
      <c r="D192" s="586"/>
      <c r="E192" s="474">
        <f>C192+D192</f>
        <v>2000000</v>
      </c>
    </row>
    <row r="193" spans="1:5" s="149" customFormat="1" ht="15">
      <c r="A193" s="378">
        <v>2220205</v>
      </c>
      <c r="B193" s="375" t="s">
        <v>911</v>
      </c>
      <c r="C193" s="467">
        <v>4250000</v>
      </c>
      <c r="D193" s="586"/>
      <c r="E193" s="474">
        <f>C193+D193</f>
        <v>4250000</v>
      </c>
    </row>
    <row r="194" spans="1:5" s="149" customFormat="1" ht="15">
      <c r="A194" s="378">
        <v>2220210</v>
      </c>
      <c r="B194" s="375" t="s">
        <v>912</v>
      </c>
      <c r="C194" s="467">
        <v>2100000</v>
      </c>
      <c r="D194" s="586"/>
      <c r="E194" s="474">
        <f>C194+D194</f>
        <v>2100000</v>
      </c>
    </row>
    <row r="195" spans="1:5" s="116" customFormat="1" ht="15.75">
      <c r="A195" s="335" t="s">
        <v>313</v>
      </c>
      <c r="B195" s="335"/>
      <c r="C195" s="114">
        <f>SUM(C192:C194)</f>
        <v>8350000</v>
      </c>
      <c r="D195" s="588">
        <f>SUM(D192:D194)</f>
        <v>0</v>
      </c>
      <c r="E195" s="114">
        <f>SUM(E192:E194)</f>
        <v>8350000</v>
      </c>
    </row>
    <row r="196" spans="1:5" s="332" customFormat="1" ht="15.75">
      <c r="A196" s="334"/>
      <c r="B196" s="333" t="s">
        <v>943</v>
      </c>
      <c r="C196" s="328">
        <f>SUM(C195,C190,C187,C183,C173,C169,C164,C160,C155,C150,C144,C138,C133,C128,C122)</f>
        <v>198047955</v>
      </c>
      <c r="D196" s="589">
        <f>SUM(D195,D190,D187,D183,D173,D169,D164,D160,D155,D150,D144,D138,D133,D128,D122)</f>
        <v>-900000</v>
      </c>
      <c r="E196" s="328">
        <f>SUM(E195,E190,E187,E183,E173,E169,E164,E160,E155,E150,E144,E138,E133,E128,E122)</f>
        <v>197147955</v>
      </c>
    </row>
    <row r="197" spans="1:6" s="332" customFormat="1" ht="15.75">
      <c r="A197" s="334"/>
      <c r="B197" s="333" t="s">
        <v>944</v>
      </c>
      <c r="C197" s="328">
        <f>SUM(C196,C118)</f>
        <v>373767588</v>
      </c>
      <c r="D197" s="589">
        <f>SUM(D196,D118)</f>
        <v>-900000</v>
      </c>
      <c r="E197" s="328">
        <f>SUM(E196,E118)</f>
        <v>372867588</v>
      </c>
      <c r="F197" s="679">
        <f>E197+E109+E58</f>
        <v>958150705</v>
      </c>
    </row>
    <row r="198" spans="1:6" s="332" customFormat="1" ht="15.75">
      <c r="A198" s="345"/>
      <c r="B198" s="355" t="s">
        <v>312</v>
      </c>
      <c r="C198" s="327"/>
      <c r="D198" s="590"/>
      <c r="E198" s="472"/>
      <c r="F198" s="358"/>
    </row>
    <row r="199" spans="1:6" s="332" customFormat="1" ht="15.75">
      <c r="A199" s="345"/>
      <c r="B199" s="593" t="s">
        <v>1050</v>
      </c>
      <c r="C199" s="327"/>
      <c r="D199" s="590">
        <v>20000000</v>
      </c>
      <c r="E199" s="72">
        <f>C199+D199</f>
        <v>20000000</v>
      </c>
      <c r="F199" s="358"/>
    </row>
    <row r="200" spans="1:5" ht="15.75">
      <c r="A200" s="346"/>
      <c r="B200" s="356" t="s">
        <v>375</v>
      </c>
      <c r="C200" s="387">
        <v>4455534</v>
      </c>
      <c r="D200" s="584"/>
      <c r="E200" s="100">
        <f>C200+D200</f>
        <v>4455534</v>
      </c>
    </row>
    <row r="201" spans="1:5" ht="15.75">
      <c r="A201" s="346"/>
      <c r="B201" s="356" t="s">
        <v>915</v>
      </c>
      <c r="C201" s="471">
        <v>29401860</v>
      </c>
      <c r="D201" s="584"/>
      <c r="E201" s="100">
        <f>C201+D201</f>
        <v>29401860</v>
      </c>
    </row>
    <row r="202" spans="1:5" ht="15.75">
      <c r="A202" s="346"/>
      <c r="B202" s="356" t="s">
        <v>873</v>
      </c>
      <c r="C202" s="471">
        <v>146142606</v>
      </c>
      <c r="D202" s="584"/>
      <c r="E202" s="100">
        <f>C202+D202</f>
        <v>146142606</v>
      </c>
    </row>
    <row r="203" spans="1:5" ht="15.75">
      <c r="A203" s="347"/>
      <c r="B203" s="343" t="s">
        <v>376</v>
      </c>
      <c r="C203" s="113">
        <f>SUM(C199:C202)</f>
        <v>180000000</v>
      </c>
      <c r="D203" s="113">
        <f>SUM(D199:D202)</f>
        <v>20000000</v>
      </c>
      <c r="E203" s="113">
        <f>SUM(E199:E202)</f>
        <v>200000000</v>
      </c>
    </row>
    <row r="204" spans="1:8" ht="15.75">
      <c r="A204" s="347"/>
      <c r="B204" s="343" t="s">
        <v>874</v>
      </c>
      <c r="C204" s="113">
        <f>SUM(C203,C197)</f>
        <v>553767588</v>
      </c>
      <c r="D204" s="477">
        <f>SUM(D203,D197)</f>
        <v>19100000</v>
      </c>
      <c r="E204" s="113">
        <f>SUM(E203,E197)</f>
        <v>572867588</v>
      </c>
      <c r="F204" s="8">
        <f>E205-E203</f>
        <v>958150705</v>
      </c>
      <c r="G204" s="68">
        <v>919508597</v>
      </c>
      <c r="H204" s="8">
        <f>F204-G204</f>
        <v>38642108</v>
      </c>
    </row>
    <row r="205" spans="1:6" ht="15.75">
      <c r="A205" s="388"/>
      <c r="B205" s="388" t="s">
        <v>311</v>
      </c>
      <c r="C205" s="389">
        <f>SUM(C204,C109,C58)</f>
        <v>1138150705</v>
      </c>
      <c r="D205" s="591">
        <f>SUM(D204,D109,D58)</f>
        <v>20000000</v>
      </c>
      <c r="E205" s="389">
        <f>SUM(E204,E109,E58)</f>
        <v>1158150705</v>
      </c>
      <c r="F205" s="8"/>
    </row>
  </sheetData>
  <sheetProtection/>
  <mergeCells count="12">
    <mergeCell ref="A169:B169"/>
    <mergeCell ref="A53:B53"/>
    <mergeCell ref="A25:B25"/>
    <mergeCell ref="A30:B30"/>
    <mergeCell ref="A35:B35"/>
    <mergeCell ref="A38:B38"/>
    <mergeCell ref="A44:B44"/>
    <mergeCell ref="A49:B49"/>
    <mergeCell ref="A1:C1"/>
    <mergeCell ref="A12:B12"/>
    <mergeCell ref="A17:B17"/>
    <mergeCell ref="A20:B20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71" r:id="rId1"/>
  <rowBreaks count="2" manualBreakCount="2">
    <brk id="44" max="255" man="1"/>
    <brk id="14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3"/>
  <sheetViews>
    <sheetView view="pageBreakPreview" zoomScale="140" zoomScaleSheetLayoutView="140" zoomScalePageLayoutView="0" workbookViewId="0" topLeftCell="A1">
      <pane xSplit="1" ySplit="2" topLeftCell="F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" sqref="F4"/>
    </sheetView>
  </sheetViews>
  <sheetFormatPr defaultColWidth="9.140625" defaultRowHeight="15"/>
  <cols>
    <col min="1" max="1" width="44.57421875" style="54" customWidth="1"/>
    <col min="2" max="2" width="18.28125" style="54" customWidth="1"/>
    <col min="3" max="3" width="17.8515625" style="54" customWidth="1"/>
    <col min="4" max="4" width="18.8515625" style="54" customWidth="1"/>
    <col min="5" max="5" width="18.140625" style="54" customWidth="1"/>
    <col min="6" max="6" width="18.7109375" style="102" customWidth="1"/>
    <col min="7" max="8" width="20.7109375" style="515" customWidth="1"/>
    <col min="9" max="9" width="21.7109375" style="864" customWidth="1"/>
    <col min="10" max="10" width="17.140625" style="484" customWidth="1"/>
    <col min="11" max="16384" width="9.140625" style="54" customWidth="1"/>
  </cols>
  <sheetData>
    <row r="1" spans="1:6" ht="20.25">
      <c r="A1" s="870" t="s">
        <v>674</v>
      </c>
      <c r="B1" s="870"/>
      <c r="C1" s="870"/>
      <c r="D1" s="870"/>
      <c r="E1" s="870"/>
      <c r="F1" s="870"/>
    </row>
    <row r="2" spans="1:9" ht="65.25" customHeight="1">
      <c r="A2" s="75" t="s">
        <v>176</v>
      </c>
      <c r="B2" s="49" t="s">
        <v>271</v>
      </c>
      <c r="C2" s="49" t="s">
        <v>363</v>
      </c>
      <c r="D2" s="49" t="s">
        <v>272</v>
      </c>
      <c r="E2" s="49" t="s">
        <v>273</v>
      </c>
      <c r="F2" s="765" t="s">
        <v>274</v>
      </c>
      <c r="G2" s="465" t="s">
        <v>1066</v>
      </c>
      <c r="H2" s="862" t="s">
        <v>1067</v>
      </c>
      <c r="I2" s="865"/>
    </row>
    <row r="3" spans="1:9" ht="15.75">
      <c r="A3" s="79" t="s">
        <v>196</v>
      </c>
      <c r="B3" s="50"/>
      <c r="C3" s="836">
        <v>540976421</v>
      </c>
      <c r="D3" s="836">
        <v>353503578</v>
      </c>
      <c r="E3" s="368">
        <f>SUM(C3:D3)</f>
        <v>894479999</v>
      </c>
      <c r="F3" s="368">
        <f>90000000+I3</f>
        <v>100367319</v>
      </c>
      <c r="G3" s="516">
        <v>1158150705</v>
      </c>
      <c r="H3" s="843">
        <f>E3+F3</f>
        <v>994847318</v>
      </c>
      <c r="I3" s="868">
        <v>10367319</v>
      </c>
    </row>
    <row r="4" spans="1:9" ht="15.75">
      <c r="A4" s="80" t="s">
        <v>174</v>
      </c>
      <c r="B4" s="47"/>
      <c r="C4" s="369">
        <f>EXECUTIVE!D17</f>
        <v>260699172</v>
      </c>
      <c r="D4" s="369">
        <f>EXECUTIVE!D195</f>
        <v>178720000</v>
      </c>
      <c r="E4" s="368">
        <f aca="true" t="shared" si="0" ref="E4:E22">C4+D4</f>
        <v>439419172</v>
      </c>
      <c r="F4" s="369">
        <f>'PROJECTS DETAILS'!E8</f>
        <v>25000000</v>
      </c>
      <c r="G4" s="516">
        <v>559757078</v>
      </c>
      <c r="H4" s="843">
        <f aca="true" t="shared" si="1" ref="H4:H22">E4+F4</f>
        <v>464419172</v>
      </c>
      <c r="I4" s="869"/>
    </row>
    <row r="5" spans="1:9" ht="15.75">
      <c r="A5" s="80" t="s">
        <v>276</v>
      </c>
      <c r="B5" s="47"/>
      <c r="C5" s="369">
        <v>0</v>
      </c>
      <c r="D5" s="369">
        <f>CPSB!D73</f>
        <v>30832000</v>
      </c>
      <c r="E5" s="368">
        <f t="shared" si="0"/>
        <v>30832000</v>
      </c>
      <c r="F5" s="369">
        <v>0</v>
      </c>
      <c r="G5" s="516">
        <v>33792000</v>
      </c>
      <c r="H5" s="843">
        <f t="shared" si="1"/>
        <v>30832000</v>
      </c>
      <c r="I5" s="869"/>
    </row>
    <row r="6" spans="1:9" ht="15.75">
      <c r="A6" s="80" t="s">
        <v>317</v>
      </c>
      <c r="B6" s="51"/>
      <c r="C6" s="367">
        <f>ADMINISTRATION!D14</f>
        <v>509302557</v>
      </c>
      <c r="D6" s="369">
        <f>ADMINISTRATION!D149</f>
        <v>102269077</v>
      </c>
      <c r="E6" s="368">
        <f t="shared" si="0"/>
        <v>611571634</v>
      </c>
      <c r="F6" s="369">
        <f>'PROJECTS DETAILS'!E30</f>
        <v>43736951</v>
      </c>
      <c r="G6" s="516">
        <v>690716454</v>
      </c>
      <c r="H6" s="843">
        <f t="shared" si="1"/>
        <v>655308585</v>
      </c>
      <c r="I6" s="869"/>
    </row>
    <row r="7" spans="1:9" ht="47.25">
      <c r="A7" s="81" t="s">
        <v>318</v>
      </c>
      <c r="B7" s="51"/>
      <c r="C7" s="367"/>
      <c r="D7" s="369">
        <f>STAKEHOLDER!D93</f>
        <v>38985000</v>
      </c>
      <c r="E7" s="368">
        <f t="shared" si="0"/>
        <v>38985000</v>
      </c>
      <c r="F7" s="369">
        <f>'PROJECTS DETAILS'!E33</f>
        <v>0</v>
      </c>
      <c r="G7" s="840">
        <v>52758809</v>
      </c>
      <c r="H7" s="844">
        <f t="shared" si="1"/>
        <v>38985000</v>
      </c>
      <c r="I7" s="869"/>
    </row>
    <row r="8" spans="1:9" ht="15.75">
      <c r="A8" s="82" t="s">
        <v>181</v>
      </c>
      <c r="B8" s="47"/>
      <c r="C8" s="367">
        <f>FINANCE!F14</f>
        <v>546375533</v>
      </c>
      <c r="D8" s="369">
        <f>FINANCE!F218</f>
        <v>489787366</v>
      </c>
      <c r="E8" s="368">
        <f t="shared" si="0"/>
        <v>1036162899</v>
      </c>
      <c r="F8" s="369">
        <f>'PROJECTS DETAILS'!E38</f>
        <v>5000000</v>
      </c>
      <c r="G8" s="516">
        <v>1185427059</v>
      </c>
      <c r="H8" s="843">
        <f t="shared" si="1"/>
        <v>1041162899</v>
      </c>
      <c r="I8" s="869"/>
    </row>
    <row r="9" spans="1:9" ht="15.75">
      <c r="A9" s="80" t="s">
        <v>214</v>
      </c>
      <c r="B9" s="78">
        <f>Revenue!C21</f>
        <v>11684643274</v>
      </c>
      <c r="C9" s="367"/>
      <c r="D9" s="369">
        <f>PLANNING!F155</f>
        <v>135586938</v>
      </c>
      <c r="E9" s="368">
        <f t="shared" si="0"/>
        <v>135586938</v>
      </c>
      <c r="F9" s="369">
        <f>'PROJECTS DETAILS'!E54</f>
        <v>70000000</v>
      </c>
      <c r="G9" s="516">
        <v>244819575</v>
      </c>
      <c r="H9" s="843">
        <f t="shared" si="1"/>
        <v>205586938</v>
      </c>
      <c r="I9" s="869"/>
    </row>
    <row r="10" spans="1:9" ht="15.75">
      <c r="A10" s="80" t="s">
        <v>319</v>
      </c>
      <c r="B10" s="51"/>
      <c r="C10" s="367">
        <f>'AGRIC &amp; COOP'!F16</f>
        <v>276901256</v>
      </c>
      <c r="D10" s="369">
        <f>'AGRIC &amp; COOP'!F125</f>
        <v>36405000</v>
      </c>
      <c r="E10" s="368">
        <f>C10+D10</f>
        <v>313306256</v>
      </c>
      <c r="F10" s="369">
        <f>'PROJECTS DETAILS'!E79</f>
        <v>59825247</v>
      </c>
      <c r="G10" s="516">
        <v>153910887</v>
      </c>
      <c r="H10" s="843">
        <f t="shared" si="1"/>
        <v>373131503</v>
      </c>
      <c r="I10" s="869"/>
    </row>
    <row r="11" spans="1:9" ht="15.75">
      <c r="A11" s="80" t="s">
        <v>183</v>
      </c>
      <c r="B11" s="51"/>
      <c r="C11" s="367"/>
      <c r="D11" s="369">
        <f>'LIVESTOCK &amp; VET'!F141</f>
        <v>97105000</v>
      </c>
      <c r="E11" s="368">
        <f t="shared" si="0"/>
        <v>97105000</v>
      </c>
      <c r="F11" s="369">
        <f>'PROJECTS DETAILS'!E111</f>
        <v>397115016</v>
      </c>
      <c r="G11" s="516">
        <v>839744178</v>
      </c>
      <c r="H11" s="843">
        <f t="shared" si="1"/>
        <v>494220016</v>
      </c>
      <c r="I11" s="869"/>
    </row>
    <row r="12" spans="1:9" ht="15.75">
      <c r="A12" s="80" t="s">
        <v>320</v>
      </c>
      <c r="B12" s="51"/>
      <c r="C12" s="367">
        <f>'ENERGY &amp; ENV'!F13</f>
        <v>84974842</v>
      </c>
      <c r="D12" s="369">
        <f>'ENERGY &amp; ENV'!F103</f>
        <v>18820000</v>
      </c>
      <c r="E12" s="368">
        <f t="shared" si="0"/>
        <v>103794842</v>
      </c>
      <c r="F12" s="369">
        <f>'PROJECTS DETAILS'!E123</f>
        <v>16000000</v>
      </c>
      <c r="G12" s="516">
        <v>167171579</v>
      </c>
      <c r="H12" s="843">
        <f t="shared" si="1"/>
        <v>119794842</v>
      </c>
      <c r="I12" s="869"/>
    </row>
    <row r="13" spans="1:9" ht="15.75">
      <c r="A13" s="80" t="s">
        <v>185</v>
      </c>
      <c r="B13" s="51"/>
      <c r="C13" s="367"/>
      <c r="D13" s="369">
        <f>WATER!F67</f>
        <v>82350000</v>
      </c>
      <c r="E13" s="368">
        <f>C13+D13</f>
        <v>82350000</v>
      </c>
      <c r="F13" s="369">
        <f>'PROJECTS DETAILS'!E135</f>
        <v>184000000</v>
      </c>
      <c r="G13" s="516">
        <v>320619861</v>
      </c>
      <c r="H13" s="843">
        <f t="shared" si="1"/>
        <v>266350000</v>
      </c>
      <c r="I13" s="869"/>
    </row>
    <row r="14" spans="1:9" ht="15.75">
      <c r="A14" s="80" t="s">
        <v>321</v>
      </c>
      <c r="B14" s="51"/>
      <c r="C14" s="367">
        <f>EDUCATION!F13</f>
        <v>448347713</v>
      </c>
      <c r="D14" s="369">
        <f>EDUCATION!F103</f>
        <v>172750000</v>
      </c>
      <c r="E14" s="368">
        <f>C14+D14</f>
        <v>621097713</v>
      </c>
      <c r="F14" s="369">
        <f>'PROJECTS DETAILS'!E152</f>
        <v>176102392</v>
      </c>
      <c r="G14" s="516">
        <v>817497146</v>
      </c>
      <c r="H14" s="843">
        <f t="shared" si="1"/>
        <v>797200105</v>
      </c>
      <c r="I14" s="867"/>
    </row>
    <row r="15" spans="1:9" ht="15.75">
      <c r="A15" s="80" t="s">
        <v>188</v>
      </c>
      <c r="B15" s="51"/>
      <c r="C15" s="367">
        <f>MEDICAL!F19</f>
        <v>2664973561</v>
      </c>
      <c r="D15" s="369">
        <f>MEDICAL!F119</f>
        <v>395931755</v>
      </c>
      <c r="E15" s="368">
        <f t="shared" si="0"/>
        <v>3060905316</v>
      </c>
      <c r="F15" s="369">
        <f>'PROJECTS DETAILS'!E223</f>
        <v>1069995185</v>
      </c>
      <c r="G15" s="516">
        <v>4080255441</v>
      </c>
      <c r="H15" s="843">
        <f t="shared" si="1"/>
        <v>4130900501</v>
      </c>
      <c r="I15" s="869"/>
    </row>
    <row r="16" spans="1:9" ht="15.75">
      <c r="A16" s="80" t="s">
        <v>322</v>
      </c>
      <c r="B16" s="51"/>
      <c r="C16" s="367"/>
      <c r="D16" s="369">
        <f>'PUBLIC HEALTH'!F50</f>
        <v>42450000</v>
      </c>
      <c r="E16" s="368">
        <f t="shared" si="0"/>
        <v>42450000</v>
      </c>
      <c r="F16" s="369">
        <v>0</v>
      </c>
      <c r="G16" s="516">
        <v>14950000</v>
      </c>
      <c r="H16" s="843">
        <f t="shared" si="1"/>
        <v>42450000</v>
      </c>
      <c r="I16" s="869"/>
    </row>
    <row r="17" spans="1:9" ht="15.75">
      <c r="A17" s="80" t="s">
        <v>333</v>
      </c>
      <c r="B17" s="51"/>
      <c r="C17" s="367">
        <f>LANDS!F13</f>
        <v>30907240</v>
      </c>
      <c r="D17" s="369">
        <f>LANDS!F107</f>
        <v>53250000</v>
      </c>
      <c r="E17" s="368">
        <f>C17+D17</f>
        <v>84157240</v>
      </c>
      <c r="F17" s="369">
        <f>'PROJECTS DETAILS'!E260</f>
        <v>89070000</v>
      </c>
      <c r="G17" s="516">
        <v>242247405</v>
      </c>
      <c r="H17" s="843">
        <f t="shared" si="1"/>
        <v>173227240</v>
      </c>
      <c r="I17" s="866"/>
    </row>
    <row r="18" spans="1:9" ht="15.75">
      <c r="A18" s="80" t="s">
        <v>215</v>
      </c>
      <c r="B18" s="51"/>
      <c r="C18" s="367">
        <f>ROADS!F13</f>
        <v>92820000</v>
      </c>
      <c r="D18" s="369">
        <f>ROADS!F89</f>
        <v>32820000</v>
      </c>
      <c r="E18" s="368">
        <f t="shared" si="0"/>
        <v>125640000</v>
      </c>
      <c r="F18" s="369">
        <f>'PROJECTS DETAILS'!E276</f>
        <v>944009599</v>
      </c>
      <c r="G18" s="516">
        <v>1178365039</v>
      </c>
      <c r="H18" s="843">
        <f t="shared" si="1"/>
        <v>1069649599</v>
      </c>
      <c r="I18" s="867"/>
    </row>
    <row r="19" spans="1:9" ht="15.75">
      <c r="A19" s="80" t="s">
        <v>216</v>
      </c>
      <c r="B19" s="47"/>
      <c r="C19" s="369"/>
      <c r="D19" s="369">
        <f>'PUBLIC WORKS'!F79</f>
        <v>71180000</v>
      </c>
      <c r="E19" s="368">
        <f t="shared" si="0"/>
        <v>71180000</v>
      </c>
      <c r="F19" s="369">
        <f>'PROJECTS DETAILS'!E293</f>
        <v>46000000</v>
      </c>
      <c r="G19" s="516">
        <v>96512706</v>
      </c>
      <c r="H19" s="843">
        <f t="shared" si="1"/>
        <v>117180000</v>
      </c>
      <c r="I19" s="867"/>
    </row>
    <row r="20" spans="1:9" ht="15.75">
      <c r="A20" s="80" t="s">
        <v>323</v>
      </c>
      <c r="B20" s="47"/>
      <c r="C20" s="369">
        <f>TRADE!F13</f>
        <v>34618837</v>
      </c>
      <c r="D20" s="369">
        <f>TRADE!F156</f>
        <v>37310000</v>
      </c>
      <c r="E20" s="368">
        <f t="shared" si="0"/>
        <v>71928837</v>
      </c>
      <c r="F20" s="369">
        <f>'PROJECTS DETAILS'!E299</f>
        <v>50000000</v>
      </c>
      <c r="G20" s="516">
        <v>231520806</v>
      </c>
      <c r="H20" s="843">
        <f t="shared" si="1"/>
        <v>121928837</v>
      </c>
      <c r="I20" s="866"/>
    </row>
    <row r="21" spans="1:9" ht="15.75">
      <c r="A21" s="80" t="s">
        <v>324</v>
      </c>
      <c r="B21" s="47"/>
      <c r="C21" s="369">
        <f>CULTURE!F13</f>
        <v>37601460</v>
      </c>
      <c r="D21" s="369">
        <f>CULTURE!F126</f>
        <v>42105000</v>
      </c>
      <c r="E21" s="368">
        <f t="shared" si="0"/>
        <v>79706460</v>
      </c>
      <c r="F21" s="369">
        <f>'PROJECTS DETAILS'!E314</f>
        <v>142000000</v>
      </c>
      <c r="G21" s="516">
        <v>256266235</v>
      </c>
      <c r="H21" s="843">
        <f t="shared" si="1"/>
        <v>221706460</v>
      </c>
      <c r="I21" s="867"/>
    </row>
    <row r="22" spans="1:9" ht="15.75">
      <c r="A22" s="80" t="s">
        <v>390</v>
      </c>
      <c r="B22" s="52"/>
      <c r="C22" s="369">
        <f>'KISII MUNICIPALITY'!F13</f>
        <v>44246459</v>
      </c>
      <c r="D22" s="369">
        <f>'KISII MUNICIPALITY'!F108</f>
        <v>67462000</v>
      </c>
      <c r="E22" s="368">
        <f t="shared" si="0"/>
        <v>111708459</v>
      </c>
      <c r="F22" s="369">
        <f>'PROJECTS DETAILS'!E321</f>
        <v>214053800</v>
      </c>
      <c r="G22" s="516">
        <v>444207998</v>
      </c>
      <c r="H22" s="843">
        <f t="shared" si="1"/>
        <v>325762259</v>
      </c>
      <c r="I22" s="867"/>
    </row>
    <row r="23" spans="1:8" ht="15.75">
      <c r="A23" s="83" t="s">
        <v>197</v>
      </c>
      <c r="B23" s="76">
        <f>SUM(B9:B22)</f>
        <v>11684643274</v>
      </c>
      <c r="C23" s="76">
        <f aca="true" t="shared" si="2" ref="C23:H23">SUM(C3:C22)</f>
        <v>5572745051</v>
      </c>
      <c r="D23" s="76">
        <f t="shared" si="2"/>
        <v>2479622714</v>
      </c>
      <c r="E23" s="76">
        <f t="shared" si="2"/>
        <v>8052367765</v>
      </c>
      <c r="F23" s="76">
        <f t="shared" si="2"/>
        <v>3632275509</v>
      </c>
      <c r="G23" s="410">
        <f t="shared" si="2"/>
        <v>12768690961</v>
      </c>
      <c r="H23" s="841">
        <f t="shared" si="2"/>
        <v>11684643274</v>
      </c>
    </row>
    <row r="24" spans="1:8" ht="15.75">
      <c r="A24" s="84" t="s">
        <v>339</v>
      </c>
      <c r="B24" s="53"/>
      <c r="C24" s="77"/>
      <c r="D24" s="77"/>
      <c r="E24" s="77"/>
      <c r="F24" s="77"/>
      <c r="G24" s="517">
        <v>0</v>
      </c>
      <c r="H24" s="863">
        <f>B23-H23</f>
        <v>0</v>
      </c>
    </row>
    <row r="26" spans="2:4" ht="15.75">
      <c r="B26" s="54" t="s">
        <v>334</v>
      </c>
      <c r="C26" s="69"/>
      <c r="D26" s="102"/>
    </row>
    <row r="27" spans="2:3" ht="15.75">
      <c r="B27" s="54" t="s">
        <v>335</v>
      </c>
      <c r="C27" s="69"/>
    </row>
    <row r="28" spans="2:3" ht="15.75">
      <c r="B28" s="54" t="s">
        <v>336</v>
      </c>
      <c r="C28" s="69"/>
    </row>
    <row r="31" ht="15.75">
      <c r="F31" s="102">
        <f>'PROJECTS DETAILS'!D324</f>
        <v>4311711392</v>
      </c>
    </row>
    <row r="32" spans="5:6" ht="15.75">
      <c r="E32" s="54" t="s">
        <v>334</v>
      </c>
      <c r="F32" s="102">
        <f>F31/G23</f>
        <v>0.3376784202209497</v>
      </c>
    </row>
    <row r="33" spans="5:6" ht="15.75">
      <c r="E33" s="54" t="s">
        <v>335</v>
      </c>
      <c r="F33" s="102">
        <f>1-F32</f>
        <v>0.6623215797790503</v>
      </c>
    </row>
  </sheetData>
  <sheetProtection/>
  <mergeCells count="7">
    <mergeCell ref="I15:I16"/>
    <mergeCell ref="A1:F1"/>
    <mergeCell ref="I4:I5"/>
    <mergeCell ref="I6:I7"/>
    <mergeCell ref="I8:I9"/>
    <mergeCell ref="I10:I11"/>
    <mergeCell ref="I12:I13"/>
  </mergeCells>
  <printOptions/>
  <pageMargins left="0.7" right="0.7" top="0.75" bottom="0.75" header="0.3" footer="0.3"/>
  <pageSetup fitToHeight="0" fitToWidth="1" horizontalDpi="600" verticalDpi="600" orientation="landscape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8">
      <selection activeCell="B11" sqref="B11:F25"/>
    </sheetView>
  </sheetViews>
  <sheetFormatPr defaultColWidth="9.140625" defaultRowHeight="15"/>
  <cols>
    <col min="3" max="3" width="34.7109375" style="0" customWidth="1"/>
    <col min="4" max="4" width="16.421875" style="0" customWidth="1"/>
    <col min="5" max="5" width="16.57421875" style="0" customWidth="1"/>
    <col min="6" max="6" width="13.140625" style="0" customWidth="1"/>
  </cols>
  <sheetData>
    <row r="2" spans="2:6" ht="25.5">
      <c r="B2" s="940" t="s">
        <v>753</v>
      </c>
      <c r="C2" s="940" t="s">
        <v>754</v>
      </c>
      <c r="D2" s="225" t="s">
        <v>764</v>
      </c>
      <c r="E2" s="940" t="s">
        <v>755</v>
      </c>
      <c r="F2" s="940"/>
    </row>
    <row r="3" spans="2:6" ht="18" customHeight="1">
      <c r="B3" s="940"/>
      <c r="C3" s="940"/>
      <c r="D3" s="225" t="s">
        <v>756</v>
      </c>
      <c r="E3" s="225" t="s">
        <v>757</v>
      </c>
      <c r="F3" s="226" t="s">
        <v>765</v>
      </c>
    </row>
    <row r="4" spans="2:6" s="98" customFormat="1" ht="36" customHeight="1">
      <c r="B4" s="221">
        <v>11301</v>
      </c>
      <c r="C4" s="258" t="s">
        <v>680</v>
      </c>
      <c r="D4" s="228">
        <f>D13</f>
        <v>59965252</v>
      </c>
      <c r="E4" s="228">
        <f>1.04*D4</f>
        <v>62363862.080000006</v>
      </c>
      <c r="F4" s="228">
        <f>1.04*E4</f>
        <v>64858416.563200004</v>
      </c>
    </row>
    <row r="5" spans="2:6" s="98" customFormat="1" ht="26.25" customHeight="1">
      <c r="B5" s="222">
        <v>11302</v>
      </c>
      <c r="C5" s="274" t="s">
        <v>748</v>
      </c>
      <c r="D5" s="228">
        <f>D16</f>
        <v>41077840</v>
      </c>
      <c r="E5" s="228">
        <f aca="true" t="shared" si="0" ref="E5:F7">1.04*D5</f>
        <v>42720953.6</v>
      </c>
      <c r="F5" s="228">
        <f t="shared" si="0"/>
        <v>44429791.744</v>
      </c>
    </row>
    <row r="6" spans="2:6" s="98" customFormat="1" ht="31.5" customHeight="1">
      <c r="B6" s="222">
        <v>11303</v>
      </c>
      <c r="C6" s="274" t="s">
        <v>749</v>
      </c>
      <c r="D6" s="228">
        <f>D19</f>
        <v>151323143</v>
      </c>
      <c r="E6" s="228">
        <f t="shared" si="0"/>
        <v>157376068.72</v>
      </c>
      <c r="F6" s="228">
        <f t="shared" si="0"/>
        <v>163671111.4688</v>
      </c>
    </row>
    <row r="7" spans="2:6" ht="26.25">
      <c r="B7" s="276">
        <v>11304</v>
      </c>
      <c r="C7" s="275" t="s">
        <v>750</v>
      </c>
      <c r="D7" s="229">
        <f>D22</f>
        <v>2700000</v>
      </c>
      <c r="E7" s="228">
        <f t="shared" si="0"/>
        <v>2808000</v>
      </c>
      <c r="F7" s="228">
        <f t="shared" si="0"/>
        <v>2920320</v>
      </c>
    </row>
    <row r="8" spans="2:6" s="11" customFormat="1" ht="15">
      <c r="B8" s="941" t="s">
        <v>758</v>
      </c>
      <c r="C8" s="941"/>
      <c r="D8" s="243">
        <f>SUM(D4:D7)</f>
        <v>255066235</v>
      </c>
      <c r="E8" s="243">
        <f>SUM(E4:E7)</f>
        <v>265268884.4</v>
      </c>
      <c r="F8" s="243">
        <f>SUM(F4:F7)</f>
        <v>275879639.776</v>
      </c>
    </row>
    <row r="9" spans="2:6" ht="15">
      <c r="B9" s="98"/>
      <c r="C9" s="98"/>
      <c r="D9" s="98"/>
      <c r="E9" s="98"/>
      <c r="F9" s="98"/>
    </row>
    <row r="10" spans="2:6" ht="15">
      <c r="B10" s="98"/>
      <c r="C10" s="98"/>
      <c r="D10" s="98"/>
      <c r="E10" s="98"/>
      <c r="F10" s="98"/>
    </row>
    <row r="11" spans="2:6" s="11" customFormat="1" ht="25.5">
      <c r="B11" s="940" t="s">
        <v>759</v>
      </c>
      <c r="C11" s="940" t="s">
        <v>760</v>
      </c>
      <c r="D11" s="235" t="s">
        <v>761</v>
      </c>
      <c r="E11" s="942" t="s">
        <v>755</v>
      </c>
      <c r="F11" s="942"/>
    </row>
    <row r="12" spans="2:6" s="11" customFormat="1" ht="15">
      <c r="B12" s="940"/>
      <c r="C12" s="940"/>
      <c r="D12" s="225" t="s">
        <v>756</v>
      </c>
      <c r="E12" s="225" t="s">
        <v>757</v>
      </c>
      <c r="F12" s="226" t="s">
        <v>765</v>
      </c>
    </row>
    <row r="13" spans="2:6" s="11" customFormat="1" ht="25.5">
      <c r="B13" s="217">
        <v>11301</v>
      </c>
      <c r="C13" s="238" t="s">
        <v>680</v>
      </c>
      <c r="D13" s="231">
        <f>D14+D15</f>
        <v>59965252</v>
      </c>
      <c r="E13" s="231">
        <f>D13*1.04</f>
        <v>62363862.080000006</v>
      </c>
      <c r="F13" s="231">
        <f>E13*1.04</f>
        <v>64858416.563200004</v>
      </c>
    </row>
    <row r="14" spans="2:6" s="98" customFormat="1" ht="15">
      <c r="B14" s="221"/>
      <c r="C14" s="241" t="s">
        <v>762</v>
      </c>
      <c r="D14" s="229">
        <f>CULTURE!E78</f>
        <v>59965252</v>
      </c>
      <c r="E14" s="229">
        <f aca="true" t="shared" si="1" ref="E14:F24">D14*1.04</f>
        <v>62363862.080000006</v>
      </c>
      <c r="F14" s="229">
        <f t="shared" si="1"/>
        <v>64858416.563200004</v>
      </c>
    </row>
    <row r="15" spans="2:6" s="98" customFormat="1" ht="15">
      <c r="B15" s="221"/>
      <c r="C15" s="241" t="s">
        <v>763</v>
      </c>
      <c r="D15" s="229"/>
      <c r="E15" s="229">
        <f t="shared" si="1"/>
        <v>0</v>
      </c>
      <c r="F15" s="229">
        <f t="shared" si="1"/>
        <v>0</v>
      </c>
    </row>
    <row r="16" spans="2:6" s="11" customFormat="1" ht="26.25">
      <c r="B16" s="218">
        <v>11302</v>
      </c>
      <c r="C16" s="277" t="s">
        <v>748</v>
      </c>
      <c r="D16" s="231">
        <f>D17+D18</f>
        <v>41077840</v>
      </c>
      <c r="E16" s="231">
        <f t="shared" si="1"/>
        <v>42720953.6</v>
      </c>
      <c r="F16" s="231">
        <f t="shared" si="1"/>
        <v>44429791.744</v>
      </c>
    </row>
    <row r="17" spans="2:6" s="98" customFormat="1" ht="15">
      <c r="B17" s="222"/>
      <c r="C17" s="241" t="s">
        <v>762</v>
      </c>
      <c r="D17" s="236">
        <f>CULTURE!E86</f>
        <v>10950000</v>
      </c>
      <c r="E17" s="229">
        <f t="shared" si="1"/>
        <v>11388000</v>
      </c>
      <c r="F17" s="229">
        <f t="shared" si="1"/>
        <v>11843520</v>
      </c>
    </row>
    <row r="18" spans="2:6" s="98" customFormat="1" ht="15">
      <c r="B18" s="222"/>
      <c r="C18" s="241" t="s">
        <v>763</v>
      </c>
      <c r="D18" s="236">
        <f>CULTURE!E93</f>
        <v>30127840</v>
      </c>
      <c r="E18" s="229">
        <f t="shared" si="1"/>
        <v>31332953.6</v>
      </c>
      <c r="F18" s="229">
        <f t="shared" si="1"/>
        <v>32586271.744000003</v>
      </c>
    </row>
    <row r="19" spans="2:6" s="11" customFormat="1" ht="26.25">
      <c r="B19" s="218">
        <v>11303</v>
      </c>
      <c r="C19" s="277" t="s">
        <v>749</v>
      </c>
      <c r="D19" s="231">
        <f>D20+D21</f>
        <v>151323143</v>
      </c>
      <c r="E19" s="231">
        <f t="shared" si="1"/>
        <v>157376068.72</v>
      </c>
      <c r="F19" s="231">
        <f t="shared" si="1"/>
        <v>163671111.4688</v>
      </c>
    </row>
    <row r="20" spans="2:6" s="98" customFormat="1" ht="15">
      <c r="B20" s="222"/>
      <c r="C20" s="241" t="s">
        <v>762</v>
      </c>
      <c r="D20" s="229">
        <f>CULTURE!E107</f>
        <v>16835603</v>
      </c>
      <c r="E20" s="229">
        <f t="shared" si="1"/>
        <v>17509027.12</v>
      </c>
      <c r="F20" s="229">
        <f t="shared" si="1"/>
        <v>18209388.204800002</v>
      </c>
    </row>
    <row r="21" spans="2:6" s="98" customFormat="1" ht="15">
      <c r="B21" s="222"/>
      <c r="C21" s="241" t="s">
        <v>763</v>
      </c>
      <c r="D21" s="229">
        <f>CULTURE!E111</f>
        <v>134487540</v>
      </c>
      <c r="E21" s="229">
        <f t="shared" si="1"/>
        <v>139867041.6</v>
      </c>
      <c r="F21" s="229">
        <f t="shared" si="1"/>
        <v>145461723.264</v>
      </c>
    </row>
    <row r="22" spans="2:6" s="11" customFormat="1" ht="26.25">
      <c r="B22" s="279">
        <v>11304</v>
      </c>
      <c r="C22" s="278" t="s">
        <v>750</v>
      </c>
      <c r="D22" s="231">
        <f>D23+D24</f>
        <v>2700000</v>
      </c>
      <c r="E22" s="231">
        <f t="shared" si="1"/>
        <v>2808000</v>
      </c>
      <c r="F22" s="231">
        <f t="shared" si="1"/>
        <v>2920320</v>
      </c>
    </row>
    <row r="23" spans="2:6" ht="15">
      <c r="B23" s="227"/>
      <c r="C23" s="241" t="s">
        <v>762</v>
      </c>
      <c r="D23" s="229">
        <f>CULTURE!E119</f>
        <v>2700000</v>
      </c>
      <c r="E23" s="229">
        <f t="shared" si="1"/>
        <v>2808000</v>
      </c>
      <c r="F23" s="229">
        <f t="shared" si="1"/>
        <v>2920320</v>
      </c>
    </row>
    <row r="24" spans="2:6" ht="15">
      <c r="B24" s="227"/>
      <c r="C24" s="241" t="s">
        <v>763</v>
      </c>
      <c r="D24" s="229">
        <f>CULTURE!E124</f>
        <v>0</v>
      </c>
      <c r="E24" s="229">
        <f t="shared" si="1"/>
        <v>0</v>
      </c>
      <c r="F24" s="229">
        <f t="shared" si="1"/>
        <v>0</v>
      </c>
    </row>
    <row r="25" spans="2:6" ht="15">
      <c r="B25" s="940" t="s">
        <v>440</v>
      </c>
      <c r="C25" s="940"/>
      <c r="D25" s="231">
        <f>SUM(D22,D19,D16,D13)</f>
        <v>255066235</v>
      </c>
      <c r="E25" s="237">
        <v>1166712574</v>
      </c>
      <c r="F25" s="237">
        <v>1213381076</v>
      </c>
    </row>
  </sheetData>
  <sheetProtection/>
  <mergeCells count="8">
    <mergeCell ref="B25:C25"/>
    <mergeCell ref="B2:B3"/>
    <mergeCell ref="C2:C3"/>
    <mergeCell ref="E2:F2"/>
    <mergeCell ref="B8:C8"/>
    <mergeCell ref="B11:B12"/>
    <mergeCell ref="C11:C12"/>
    <mergeCell ref="E11:F11"/>
  </mergeCells>
  <printOptions/>
  <pageMargins left="0.7" right="0.7" top="0.75" bottom="0.75" header="0.3" footer="0.3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F41"/>
  <sheetViews>
    <sheetView zoomScalePageLayoutView="0" workbookViewId="0" topLeftCell="A20">
      <selection activeCell="B15" sqref="B15:F41"/>
    </sheetView>
  </sheetViews>
  <sheetFormatPr defaultColWidth="9.140625" defaultRowHeight="15"/>
  <cols>
    <col min="2" max="2" width="9.28125" style="0" customWidth="1"/>
    <col min="3" max="3" width="34.57421875" style="0" customWidth="1"/>
    <col min="4" max="4" width="18.8515625" style="0" customWidth="1"/>
    <col min="5" max="5" width="15.28125" style="0" customWidth="1"/>
    <col min="6" max="6" width="16.28125" style="0" customWidth="1"/>
  </cols>
  <sheetData>
    <row r="2" spans="2:6" ht="25.5">
      <c r="B2" s="940" t="s">
        <v>753</v>
      </c>
      <c r="C2" s="940" t="s">
        <v>754</v>
      </c>
      <c r="D2" s="225" t="s">
        <v>764</v>
      </c>
      <c r="E2" s="940" t="s">
        <v>755</v>
      </c>
      <c r="F2" s="940"/>
    </row>
    <row r="3" spans="2:6" ht="15">
      <c r="B3" s="940"/>
      <c r="C3" s="940"/>
      <c r="D3" s="235" t="s">
        <v>756</v>
      </c>
      <c r="E3" s="235" t="s">
        <v>757</v>
      </c>
      <c r="F3" s="239" t="s">
        <v>765</v>
      </c>
    </row>
    <row r="4" spans="2:6" s="98" customFormat="1" ht="25.5">
      <c r="B4" s="221">
        <v>10201</v>
      </c>
      <c r="C4" s="227" t="s">
        <v>680</v>
      </c>
      <c r="D4" s="228">
        <f>D17</f>
        <v>435192154</v>
      </c>
      <c r="E4" s="228">
        <f>1.04*D4</f>
        <v>452599840.16</v>
      </c>
      <c r="F4" s="233">
        <f>1.04*E4</f>
        <v>470703833.76640004</v>
      </c>
    </row>
    <row r="5" spans="2:6" s="98" customFormat="1" ht="15">
      <c r="B5" s="222">
        <v>10202</v>
      </c>
      <c r="C5" s="223" t="s">
        <v>681</v>
      </c>
      <c r="D5" s="228">
        <f>D20</f>
        <v>39520000</v>
      </c>
      <c r="E5" s="228">
        <f aca="true" t="shared" si="0" ref="E5:F11">1.04*D5</f>
        <v>41100800</v>
      </c>
      <c r="F5" s="233">
        <f t="shared" si="0"/>
        <v>42744832</v>
      </c>
    </row>
    <row r="6" spans="2:6" s="98" customFormat="1" ht="15">
      <c r="B6" s="224">
        <v>10203</v>
      </c>
      <c r="C6" s="223" t="s">
        <v>682</v>
      </c>
      <c r="D6" s="228">
        <f>D23</f>
        <v>25700000</v>
      </c>
      <c r="E6" s="228">
        <f t="shared" si="0"/>
        <v>26728000</v>
      </c>
      <c r="F6" s="233">
        <f t="shared" si="0"/>
        <v>27797120</v>
      </c>
    </row>
    <row r="7" spans="2:6" s="98" customFormat="1" ht="15">
      <c r="B7" s="224">
        <v>10204</v>
      </c>
      <c r="C7" s="223" t="s">
        <v>686</v>
      </c>
      <c r="D7" s="228">
        <f>D26</f>
        <v>44144924</v>
      </c>
      <c r="E7" s="228">
        <f t="shared" si="0"/>
        <v>45910720.96</v>
      </c>
      <c r="F7" s="233">
        <f t="shared" si="0"/>
        <v>47747149.7984</v>
      </c>
    </row>
    <row r="8" spans="2:6" ht="15">
      <c r="B8" s="224">
        <v>10205</v>
      </c>
      <c r="C8" s="223" t="s">
        <v>685</v>
      </c>
      <c r="D8" s="229">
        <f>D29</f>
        <v>8350000</v>
      </c>
      <c r="E8" s="228">
        <f t="shared" si="0"/>
        <v>8684000</v>
      </c>
      <c r="F8" s="233">
        <f t="shared" si="0"/>
        <v>9031360</v>
      </c>
    </row>
    <row r="9" spans="2:6" ht="15">
      <c r="B9" s="230">
        <v>10206</v>
      </c>
      <c r="C9" s="230" t="s">
        <v>684</v>
      </c>
      <c r="D9" s="229">
        <f>D32</f>
        <v>2500000</v>
      </c>
      <c r="E9" s="228">
        <f t="shared" si="0"/>
        <v>2600000</v>
      </c>
      <c r="F9" s="233">
        <f t="shared" si="0"/>
        <v>2704000</v>
      </c>
    </row>
    <row r="10" spans="2:6" ht="15">
      <c r="B10" s="230">
        <v>10207</v>
      </c>
      <c r="C10" s="230" t="s">
        <v>683</v>
      </c>
      <c r="D10" s="229">
        <f>D35</f>
        <v>4350000</v>
      </c>
      <c r="E10" s="228">
        <f t="shared" si="0"/>
        <v>4524000</v>
      </c>
      <c r="F10" s="233">
        <f t="shared" si="0"/>
        <v>4704960</v>
      </c>
    </row>
    <row r="11" spans="2:6" s="98" customFormat="1" ht="15">
      <c r="B11" s="230">
        <v>10208</v>
      </c>
      <c r="C11" s="230" t="s">
        <v>692</v>
      </c>
      <c r="D11" s="229">
        <f>D38</f>
        <v>33792000</v>
      </c>
      <c r="E11" s="228">
        <f t="shared" si="0"/>
        <v>35143680</v>
      </c>
      <c r="F11" s="233">
        <f t="shared" si="0"/>
        <v>36549427.2</v>
      </c>
    </row>
    <row r="12" spans="2:6" ht="15">
      <c r="B12" s="940" t="s">
        <v>440</v>
      </c>
      <c r="C12" s="940"/>
      <c r="D12" s="231">
        <f>SUM(D4:D11)</f>
        <v>593549078</v>
      </c>
      <c r="E12" s="231">
        <f>SUM(E4:E11)</f>
        <v>617291041.12</v>
      </c>
      <c r="F12" s="231">
        <f>SUM(F4:F11)</f>
        <v>641982682.7648002</v>
      </c>
    </row>
    <row r="15" spans="2:6" ht="25.5">
      <c r="B15" s="940" t="s">
        <v>759</v>
      </c>
      <c r="C15" s="940" t="s">
        <v>760</v>
      </c>
      <c r="D15" s="235" t="s">
        <v>761</v>
      </c>
      <c r="E15" s="942" t="s">
        <v>755</v>
      </c>
      <c r="F15" s="942"/>
    </row>
    <row r="16" spans="2:6" ht="15">
      <c r="B16" s="940"/>
      <c r="C16" s="940"/>
      <c r="D16" s="235" t="s">
        <v>756</v>
      </c>
      <c r="E16" s="235" t="s">
        <v>757</v>
      </c>
      <c r="F16" s="239" t="s">
        <v>765</v>
      </c>
    </row>
    <row r="17" spans="2:6" s="11" customFormat="1" ht="25.5">
      <c r="B17" s="217">
        <v>10201</v>
      </c>
      <c r="C17" s="225" t="s">
        <v>680</v>
      </c>
      <c r="D17" s="231">
        <f>D18+D19</f>
        <v>435192154</v>
      </c>
      <c r="E17" s="231">
        <f>1.04*D17</f>
        <v>452599840.16</v>
      </c>
      <c r="F17" s="231">
        <f>1.04*E17</f>
        <v>470703833.76640004</v>
      </c>
    </row>
    <row r="18" spans="2:6" s="93" customFormat="1" ht="15">
      <c r="B18" s="227"/>
      <c r="C18" s="227" t="s">
        <v>762</v>
      </c>
      <c r="D18" s="236">
        <f>EXECUTIVE!C88</f>
        <v>427587078</v>
      </c>
      <c r="E18" s="229">
        <f aca="true" t="shared" si="1" ref="E18:F40">1.04*D18</f>
        <v>444690561.12</v>
      </c>
      <c r="F18" s="229">
        <f t="shared" si="1"/>
        <v>462478183.5648</v>
      </c>
    </row>
    <row r="19" spans="2:6" s="93" customFormat="1" ht="15">
      <c r="B19" s="227"/>
      <c r="C19" s="227" t="s">
        <v>763</v>
      </c>
      <c r="D19" s="229">
        <f>EXECUTIVE!C91</f>
        <v>7605076</v>
      </c>
      <c r="E19" s="229">
        <f t="shared" si="1"/>
        <v>7909279.04</v>
      </c>
      <c r="F19" s="229">
        <f t="shared" si="1"/>
        <v>8225650.2016</v>
      </c>
    </row>
    <row r="20" spans="2:6" s="11" customFormat="1" ht="15">
      <c r="B20" s="218">
        <v>10202</v>
      </c>
      <c r="C20" s="219" t="s">
        <v>681</v>
      </c>
      <c r="D20" s="231">
        <f>D21+D22</f>
        <v>39520000</v>
      </c>
      <c r="E20" s="231">
        <f t="shared" si="1"/>
        <v>41100800</v>
      </c>
      <c r="F20" s="231">
        <f t="shared" si="1"/>
        <v>42744832</v>
      </c>
    </row>
    <row r="21" spans="2:6" s="93" customFormat="1" ht="15">
      <c r="B21" s="227"/>
      <c r="C21" s="227" t="s">
        <v>762</v>
      </c>
      <c r="D21" s="229">
        <f>EXECUTIVE!C120</f>
        <v>34520000</v>
      </c>
      <c r="E21" s="229">
        <f t="shared" si="1"/>
        <v>35900800</v>
      </c>
      <c r="F21" s="229">
        <f t="shared" si="1"/>
        <v>37336832</v>
      </c>
    </row>
    <row r="22" spans="2:6" s="93" customFormat="1" ht="15">
      <c r="B22" s="227"/>
      <c r="C22" s="227" t="s">
        <v>763</v>
      </c>
      <c r="D22" s="229">
        <f>EXECUTIVE!C123</f>
        <v>5000000</v>
      </c>
      <c r="E22" s="229">
        <f t="shared" si="1"/>
        <v>5200000</v>
      </c>
      <c r="F22" s="229">
        <f t="shared" si="1"/>
        <v>5408000</v>
      </c>
    </row>
    <row r="23" spans="2:6" s="11" customFormat="1" ht="15">
      <c r="B23" s="220">
        <v>10203</v>
      </c>
      <c r="C23" s="219" t="s">
        <v>682</v>
      </c>
      <c r="D23" s="231">
        <f>D24+D25</f>
        <v>25700000</v>
      </c>
      <c r="E23" s="231">
        <f t="shared" si="1"/>
        <v>26728000</v>
      </c>
      <c r="F23" s="231">
        <f t="shared" si="1"/>
        <v>27797120</v>
      </c>
    </row>
    <row r="24" spans="2:6" s="93" customFormat="1" ht="15">
      <c r="B24" s="227"/>
      <c r="C24" s="227" t="s">
        <v>762</v>
      </c>
      <c r="D24" s="229">
        <f>EXECUTIVE!C141</f>
        <v>25700000</v>
      </c>
      <c r="E24" s="229">
        <f t="shared" si="1"/>
        <v>26728000</v>
      </c>
      <c r="F24" s="229">
        <f t="shared" si="1"/>
        <v>27797120</v>
      </c>
    </row>
    <row r="25" spans="2:6" s="93" customFormat="1" ht="15">
      <c r="B25" s="227"/>
      <c r="C25" s="227" t="s">
        <v>763</v>
      </c>
      <c r="D25" s="229"/>
      <c r="E25" s="229">
        <f t="shared" si="1"/>
        <v>0</v>
      </c>
      <c r="F25" s="229">
        <f t="shared" si="1"/>
        <v>0</v>
      </c>
    </row>
    <row r="26" spans="2:6" s="11" customFormat="1" ht="15">
      <c r="B26" s="220">
        <v>10204</v>
      </c>
      <c r="C26" s="219" t="s">
        <v>686</v>
      </c>
      <c r="D26" s="231">
        <f>D27+D28</f>
        <v>44144924</v>
      </c>
      <c r="E26" s="231">
        <f t="shared" si="1"/>
        <v>45910720.96</v>
      </c>
      <c r="F26" s="231">
        <f t="shared" si="1"/>
        <v>47747149.7984</v>
      </c>
    </row>
    <row r="27" spans="2:6" s="93" customFormat="1" ht="15">
      <c r="B27" s="227"/>
      <c r="C27" s="227" t="s">
        <v>762</v>
      </c>
      <c r="D27" s="229">
        <f>EXECUTIVE!C160</f>
        <v>41750000</v>
      </c>
      <c r="E27" s="229">
        <f t="shared" si="1"/>
        <v>43420000</v>
      </c>
      <c r="F27" s="229">
        <f t="shared" si="1"/>
        <v>45156800</v>
      </c>
    </row>
    <row r="28" spans="2:6" s="93" customFormat="1" ht="15">
      <c r="B28" s="227"/>
      <c r="C28" s="227" t="s">
        <v>763</v>
      </c>
      <c r="D28" s="229">
        <f>EXECUTIVE!C163</f>
        <v>2394924</v>
      </c>
      <c r="E28" s="229">
        <f t="shared" si="1"/>
        <v>2490720.96</v>
      </c>
      <c r="F28" s="229">
        <f t="shared" si="1"/>
        <v>2590349.7984</v>
      </c>
    </row>
    <row r="29" spans="2:6" s="11" customFormat="1" ht="15">
      <c r="B29" s="220">
        <v>10205</v>
      </c>
      <c r="C29" s="219" t="s">
        <v>685</v>
      </c>
      <c r="D29" s="231">
        <f>D30+D31</f>
        <v>8350000</v>
      </c>
      <c r="E29" s="231">
        <f t="shared" si="1"/>
        <v>8684000</v>
      </c>
      <c r="F29" s="231">
        <f t="shared" si="1"/>
        <v>9031360</v>
      </c>
    </row>
    <row r="30" spans="2:6" s="93" customFormat="1" ht="15">
      <c r="B30" s="227"/>
      <c r="C30" s="227" t="s">
        <v>762</v>
      </c>
      <c r="D30" s="229">
        <f>EXECUTIVE!C174</f>
        <v>8350000</v>
      </c>
      <c r="E30" s="229">
        <f t="shared" si="1"/>
        <v>8684000</v>
      </c>
      <c r="F30" s="229">
        <f t="shared" si="1"/>
        <v>9031360</v>
      </c>
    </row>
    <row r="31" spans="2:6" s="93" customFormat="1" ht="15">
      <c r="B31" s="227"/>
      <c r="C31" s="227" t="s">
        <v>763</v>
      </c>
      <c r="D31" s="229"/>
      <c r="E31" s="229">
        <f t="shared" si="1"/>
        <v>0</v>
      </c>
      <c r="F31" s="229">
        <f t="shared" si="1"/>
        <v>0</v>
      </c>
    </row>
    <row r="32" spans="2:6" s="11" customFormat="1" ht="15">
      <c r="B32" s="234">
        <v>10206</v>
      </c>
      <c r="C32" s="234" t="s">
        <v>684</v>
      </c>
      <c r="D32" s="231">
        <f>D33+D34</f>
        <v>2500000</v>
      </c>
      <c r="E32" s="231">
        <f t="shared" si="1"/>
        <v>2600000</v>
      </c>
      <c r="F32" s="231">
        <f t="shared" si="1"/>
        <v>2704000</v>
      </c>
    </row>
    <row r="33" spans="2:6" s="93" customFormat="1" ht="15">
      <c r="B33" s="227"/>
      <c r="C33" s="227" t="s">
        <v>762</v>
      </c>
      <c r="D33" s="229">
        <f>EXECUTIVE!C183</f>
        <v>2500000</v>
      </c>
      <c r="E33" s="229">
        <f t="shared" si="1"/>
        <v>2600000</v>
      </c>
      <c r="F33" s="229">
        <f t="shared" si="1"/>
        <v>2704000</v>
      </c>
    </row>
    <row r="34" spans="2:6" s="93" customFormat="1" ht="15">
      <c r="B34" s="227"/>
      <c r="C34" s="227" t="s">
        <v>763</v>
      </c>
      <c r="D34" s="229"/>
      <c r="E34" s="229">
        <f t="shared" si="1"/>
        <v>0</v>
      </c>
      <c r="F34" s="229">
        <f t="shared" si="1"/>
        <v>0</v>
      </c>
    </row>
    <row r="35" spans="2:6" s="11" customFormat="1" ht="15">
      <c r="B35" s="234">
        <v>10207</v>
      </c>
      <c r="C35" s="234" t="s">
        <v>683</v>
      </c>
      <c r="D35" s="231">
        <f>D36+D37</f>
        <v>4350000</v>
      </c>
      <c r="E35" s="231">
        <f t="shared" si="1"/>
        <v>4524000</v>
      </c>
      <c r="F35" s="231">
        <f t="shared" si="1"/>
        <v>4704960</v>
      </c>
    </row>
    <row r="36" spans="2:6" s="93" customFormat="1" ht="15">
      <c r="B36" s="227"/>
      <c r="C36" s="227" t="s">
        <v>762</v>
      </c>
      <c r="D36" s="229">
        <f>EXECUTIVE!C194</f>
        <v>4350000</v>
      </c>
      <c r="E36" s="229">
        <f t="shared" si="1"/>
        <v>4524000</v>
      </c>
      <c r="F36" s="229">
        <f t="shared" si="1"/>
        <v>4704960</v>
      </c>
    </row>
    <row r="37" spans="2:6" s="93" customFormat="1" ht="15">
      <c r="B37" s="227"/>
      <c r="C37" s="227" t="s">
        <v>763</v>
      </c>
      <c r="D37" s="229"/>
      <c r="E37" s="229">
        <f t="shared" si="1"/>
        <v>0</v>
      </c>
      <c r="F37" s="229">
        <f t="shared" si="1"/>
        <v>0</v>
      </c>
    </row>
    <row r="38" spans="2:6" s="98" customFormat="1" ht="15">
      <c r="B38" s="238">
        <v>10208</v>
      </c>
      <c r="C38" s="234" t="s">
        <v>692</v>
      </c>
      <c r="D38" s="231">
        <f>D39+D40</f>
        <v>33792000</v>
      </c>
      <c r="E38" s="231">
        <f t="shared" si="1"/>
        <v>35143680</v>
      </c>
      <c r="F38" s="231">
        <f t="shared" si="1"/>
        <v>36549427.2</v>
      </c>
    </row>
    <row r="39" spans="2:6" s="93" customFormat="1" ht="15">
      <c r="B39" s="227"/>
      <c r="C39" s="227" t="s">
        <v>762</v>
      </c>
      <c r="D39" s="229">
        <f>CPSB!C73</f>
        <v>33792000</v>
      </c>
      <c r="E39" s="229">
        <f t="shared" si="1"/>
        <v>35143680</v>
      </c>
      <c r="F39" s="229">
        <f t="shared" si="1"/>
        <v>36549427.2</v>
      </c>
    </row>
    <row r="40" spans="2:6" s="93" customFormat="1" ht="15">
      <c r="B40" s="227"/>
      <c r="C40" s="227" t="s">
        <v>763</v>
      </c>
      <c r="D40" s="229"/>
      <c r="E40" s="229">
        <f t="shared" si="1"/>
        <v>0</v>
      </c>
      <c r="F40" s="229">
        <f t="shared" si="1"/>
        <v>0</v>
      </c>
    </row>
    <row r="41" spans="2:6" ht="15">
      <c r="B41" s="940" t="s">
        <v>440</v>
      </c>
      <c r="C41" s="940"/>
      <c r="D41" s="231">
        <f>SUM(D17,D20,D23,D26,D29,D32,D35,D38)</f>
        <v>593549078</v>
      </c>
      <c r="E41" s="231">
        <f>SUM(E17,E20,E23,E26,E29,E32,E35,E38)</f>
        <v>617291041.12</v>
      </c>
      <c r="F41" s="231">
        <f>SUM(F17,F20,F23,F26,F29,F32,F35,F38)</f>
        <v>641982682.7648002</v>
      </c>
    </row>
  </sheetData>
  <sheetProtection/>
  <mergeCells count="8">
    <mergeCell ref="B41:C41"/>
    <mergeCell ref="B2:B3"/>
    <mergeCell ref="C2:C3"/>
    <mergeCell ref="E2:F2"/>
    <mergeCell ref="B12:C12"/>
    <mergeCell ref="B15:B16"/>
    <mergeCell ref="C15:C16"/>
    <mergeCell ref="E15:F15"/>
  </mergeCell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17">
      <selection activeCell="B14" sqref="B14:F37"/>
    </sheetView>
  </sheetViews>
  <sheetFormatPr defaultColWidth="9.140625" defaultRowHeight="15"/>
  <cols>
    <col min="3" max="3" width="43.140625" style="0" customWidth="1"/>
    <col min="4" max="4" width="16.8515625" style="0" customWidth="1"/>
    <col min="5" max="5" width="14.8515625" style="0" customWidth="1"/>
    <col min="6" max="6" width="15.7109375" style="0" customWidth="1"/>
  </cols>
  <sheetData>
    <row r="2" spans="2:6" ht="25.5">
      <c r="B2" s="940" t="s">
        <v>753</v>
      </c>
      <c r="C2" s="940" t="s">
        <v>754</v>
      </c>
      <c r="D2" s="225" t="s">
        <v>764</v>
      </c>
      <c r="E2" s="940" t="s">
        <v>755</v>
      </c>
      <c r="F2" s="940"/>
    </row>
    <row r="3" spans="2:6" ht="15">
      <c r="B3" s="940"/>
      <c r="C3" s="940"/>
      <c r="D3" s="225" t="s">
        <v>756</v>
      </c>
      <c r="E3" s="225" t="s">
        <v>757</v>
      </c>
      <c r="F3" s="226" t="s">
        <v>765</v>
      </c>
    </row>
    <row r="4" spans="2:6" ht="31.5">
      <c r="B4" s="13">
        <v>10301</v>
      </c>
      <c r="C4" s="158" t="s">
        <v>680</v>
      </c>
      <c r="D4" s="229">
        <f>D16</f>
        <v>601610804</v>
      </c>
      <c r="E4" s="229">
        <f>1.04*D4</f>
        <v>625675236.16</v>
      </c>
      <c r="F4" s="229">
        <f>1.04*E4</f>
        <v>650702245.6064</v>
      </c>
    </row>
    <row r="5" spans="2:6" ht="15.75">
      <c r="B5" s="184">
        <v>10302</v>
      </c>
      <c r="C5" s="184" t="s">
        <v>695</v>
      </c>
      <c r="D5" s="229">
        <f>D19</f>
        <v>65745650</v>
      </c>
      <c r="E5" s="229">
        <f aca="true" t="shared" si="0" ref="E5:F10">1.04*D5</f>
        <v>68375476</v>
      </c>
      <c r="F5" s="229">
        <f t="shared" si="0"/>
        <v>71110495.04</v>
      </c>
    </row>
    <row r="6" spans="2:6" s="98" customFormat="1" ht="15.75">
      <c r="B6" s="184">
        <v>10303</v>
      </c>
      <c r="C6" s="184" t="s">
        <v>696</v>
      </c>
      <c r="D6" s="229">
        <f>D22</f>
        <v>10060000</v>
      </c>
      <c r="E6" s="229">
        <f t="shared" si="0"/>
        <v>10462400</v>
      </c>
      <c r="F6" s="229">
        <f t="shared" si="0"/>
        <v>10880896</v>
      </c>
    </row>
    <row r="7" spans="2:6" s="98" customFormat="1" ht="15.75">
      <c r="B7" s="184">
        <v>10304</v>
      </c>
      <c r="C7" s="184" t="s">
        <v>697</v>
      </c>
      <c r="D7" s="229">
        <f>ADMINISTRATION!C148</f>
        <v>13300000</v>
      </c>
      <c r="E7" s="229">
        <f t="shared" si="0"/>
        <v>13832000</v>
      </c>
      <c r="F7" s="229">
        <f t="shared" si="0"/>
        <v>14385280</v>
      </c>
    </row>
    <row r="8" spans="2:6" s="98" customFormat="1" ht="15.75">
      <c r="B8" s="13">
        <v>10305</v>
      </c>
      <c r="C8" s="13" t="s">
        <v>699</v>
      </c>
      <c r="D8" s="229">
        <f>D28</f>
        <v>23808809</v>
      </c>
      <c r="E8" s="229">
        <f t="shared" si="0"/>
        <v>24761161.36</v>
      </c>
      <c r="F8" s="229">
        <f t="shared" si="0"/>
        <v>25751607.8144</v>
      </c>
    </row>
    <row r="9" spans="2:6" s="98" customFormat="1" ht="15.75">
      <c r="B9" s="141">
        <v>10306</v>
      </c>
      <c r="C9" s="141" t="s">
        <v>700</v>
      </c>
      <c r="D9" s="229">
        <f>D31</f>
        <v>13820000</v>
      </c>
      <c r="E9" s="229">
        <f t="shared" si="0"/>
        <v>14372800</v>
      </c>
      <c r="F9" s="229">
        <f t="shared" si="0"/>
        <v>14947712</v>
      </c>
    </row>
    <row r="10" spans="2:6" s="98" customFormat="1" ht="15.75">
      <c r="B10" s="184">
        <v>10307</v>
      </c>
      <c r="C10" s="184" t="s">
        <v>701</v>
      </c>
      <c r="D10" s="229">
        <f>D34</f>
        <v>15130000</v>
      </c>
      <c r="E10" s="229">
        <f t="shared" si="0"/>
        <v>15735200</v>
      </c>
      <c r="F10" s="229">
        <f t="shared" si="0"/>
        <v>16364608</v>
      </c>
    </row>
    <row r="11" spans="2:6" ht="15">
      <c r="B11" s="941" t="s">
        <v>758</v>
      </c>
      <c r="C11" s="941"/>
      <c r="D11" s="243">
        <f>SUM(D4:D10)</f>
        <v>743475263</v>
      </c>
      <c r="E11" s="243">
        <f>SUM(E4:E10)</f>
        <v>773214273.52</v>
      </c>
      <c r="F11" s="243">
        <f>SUM(F4:F10)</f>
        <v>804142844.4607999</v>
      </c>
    </row>
    <row r="12" spans="2:6" ht="15">
      <c r="B12" s="98"/>
      <c r="C12" s="98"/>
      <c r="D12" s="98"/>
      <c r="E12" s="98"/>
      <c r="F12" s="98"/>
    </row>
    <row r="13" spans="2:6" ht="15">
      <c r="B13" s="98"/>
      <c r="C13" s="98"/>
      <c r="D13" s="98"/>
      <c r="E13" s="98"/>
      <c r="F13" s="98"/>
    </row>
    <row r="14" spans="2:6" ht="25.5">
      <c r="B14" s="940" t="s">
        <v>759</v>
      </c>
      <c r="C14" s="940" t="s">
        <v>760</v>
      </c>
      <c r="D14" s="235" t="s">
        <v>761</v>
      </c>
      <c r="E14" s="942" t="s">
        <v>755</v>
      </c>
      <c r="F14" s="942"/>
    </row>
    <row r="15" spans="2:6" ht="15">
      <c r="B15" s="940"/>
      <c r="C15" s="940"/>
      <c r="D15" s="225" t="s">
        <v>756</v>
      </c>
      <c r="E15" s="225" t="s">
        <v>757</v>
      </c>
      <c r="F15" s="226" t="s">
        <v>765</v>
      </c>
    </row>
    <row r="16" spans="2:6" s="11" customFormat="1" ht="31.5">
      <c r="B16" s="200">
        <v>10301</v>
      </c>
      <c r="C16" s="240" t="s">
        <v>680</v>
      </c>
      <c r="D16" s="243">
        <f>D17+D18</f>
        <v>601610804</v>
      </c>
      <c r="E16" s="243">
        <f>1.04*D16</f>
        <v>625675236.16</v>
      </c>
      <c r="F16" s="243">
        <f>1.04*E16</f>
        <v>650702245.6064</v>
      </c>
    </row>
    <row r="17" spans="2:6" s="98" customFormat="1" ht="15.75">
      <c r="B17" s="13"/>
      <c r="C17" s="227" t="s">
        <v>762</v>
      </c>
      <c r="D17" s="242">
        <f>ADMINISTRATION!C93</f>
        <v>601610804</v>
      </c>
      <c r="E17" s="242">
        <f aca="true" t="shared" si="1" ref="E17:F36">1.04*D17</f>
        <v>625675236.16</v>
      </c>
      <c r="F17" s="242">
        <f t="shared" si="1"/>
        <v>650702245.6064</v>
      </c>
    </row>
    <row r="18" spans="2:6" s="98" customFormat="1" ht="15.75">
      <c r="B18" s="13"/>
      <c r="C18" s="227" t="s">
        <v>763</v>
      </c>
      <c r="D18" s="242">
        <v>0</v>
      </c>
      <c r="E18" s="242">
        <f t="shared" si="1"/>
        <v>0</v>
      </c>
      <c r="F18" s="242">
        <f t="shared" si="1"/>
        <v>0</v>
      </c>
    </row>
    <row r="19" spans="2:6" s="11" customFormat="1" ht="15.75">
      <c r="B19" s="183">
        <v>10302</v>
      </c>
      <c r="C19" s="183" t="s">
        <v>695</v>
      </c>
      <c r="D19" s="244">
        <f>D20+D21</f>
        <v>65745650</v>
      </c>
      <c r="E19" s="243">
        <f t="shared" si="1"/>
        <v>68375476</v>
      </c>
      <c r="F19" s="243">
        <f t="shared" si="1"/>
        <v>71110495.04</v>
      </c>
    </row>
    <row r="20" spans="2:6" s="98" customFormat="1" ht="15.75">
      <c r="B20" s="184"/>
      <c r="C20" s="227" t="s">
        <v>762</v>
      </c>
      <c r="D20" s="245">
        <f>ADMINISTRATION!C106</f>
        <v>20800000</v>
      </c>
      <c r="E20" s="242">
        <f t="shared" si="1"/>
        <v>21632000</v>
      </c>
      <c r="F20" s="242">
        <f t="shared" si="1"/>
        <v>22497280</v>
      </c>
    </row>
    <row r="21" spans="2:6" s="98" customFormat="1" ht="15.75">
      <c r="B21" s="184"/>
      <c r="C21" s="227" t="s">
        <v>763</v>
      </c>
      <c r="D21" s="245">
        <f>ADMINISTRATION!C118</f>
        <v>44945650</v>
      </c>
      <c r="E21" s="242">
        <f t="shared" si="1"/>
        <v>46743476</v>
      </c>
      <c r="F21" s="242">
        <f t="shared" si="1"/>
        <v>48613215.04</v>
      </c>
    </row>
    <row r="22" spans="2:6" s="11" customFormat="1" ht="15.75">
      <c r="B22" s="183">
        <v>10303</v>
      </c>
      <c r="C22" s="183" t="s">
        <v>696</v>
      </c>
      <c r="D22" s="243">
        <f>D23+D24</f>
        <v>10060000</v>
      </c>
      <c r="E22" s="243">
        <f t="shared" si="1"/>
        <v>10462400</v>
      </c>
      <c r="F22" s="243">
        <f t="shared" si="1"/>
        <v>10880896</v>
      </c>
    </row>
    <row r="23" spans="2:6" s="98" customFormat="1" ht="15.75">
      <c r="B23" s="184"/>
      <c r="C23" s="227" t="s">
        <v>762</v>
      </c>
      <c r="D23" s="242">
        <f>ADMINISTRATION!C136</f>
        <v>10060000</v>
      </c>
      <c r="E23" s="242">
        <f t="shared" si="1"/>
        <v>10462400</v>
      </c>
      <c r="F23" s="242">
        <f t="shared" si="1"/>
        <v>10880896</v>
      </c>
    </row>
    <row r="24" spans="2:6" s="98" customFormat="1" ht="15.75">
      <c r="B24" s="184"/>
      <c r="C24" s="227" t="s">
        <v>763</v>
      </c>
      <c r="D24" s="242">
        <v>0</v>
      </c>
      <c r="E24" s="242">
        <f t="shared" si="1"/>
        <v>0</v>
      </c>
      <c r="F24" s="242">
        <f t="shared" si="1"/>
        <v>0</v>
      </c>
    </row>
    <row r="25" spans="2:6" s="11" customFormat="1" ht="15.75">
      <c r="B25" s="183">
        <v>10304</v>
      </c>
      <c r="C25" s="183" t="s">
        <v>697</v>
      </c>
      <c r="D25" s="243">
        <f>D26+D27</f>
        <v>13300000</v>
      </c>
      <c r="E25" s="243">
        <f t="shared" si="1"/>
        <v>13832000</v>
      </c>
      <c r="F25" s="243">
        <f t="shared" si="1"/>
        <v>14385280</v>
      </c>
    </row>
    <row r="26" spans="2:6" s="98" customFormat="1" ht="15.75">
      <c r="B26" s="184"/>
      <c r="C26" s="227" t="s">
        <v>762</v>
      </c>
      <c r="D26" s="243">
        <f>ADMINISTRATION!C148</f>
        <v>13300000</v>
      </c>
      <c r="E26" s="243">
        <f t="shared" si="1"/>
        <v>13832000</v>
      </c>
      <c r="F26" s="243">
        <f t="shared" si="1"/>
        <v>14385280</v>
      </c>
    </row>
    <row r="27" spans="2:6" s="98" customFormat="1" ht="15.75">
      <c r="B27" s="184"/>
      <c r="C27" s="227" t="s">
        <v>763</v>
      </c>
      <c r="D27" s="243"/>
      <c r="E27" s="243">
        <f t="shared" si="1"/>
        <v>0</v>
      </c>
      <c r="F27" s="243">
        <f t="shared" si="1"/>
        <v>0</v>
      </c>
    </row>
    <row r="28" spans="2:6" s="11" customFormat="1" ht="15.75">
      <c r="B28" s="200">
        <v>10305</v>
      </c>
      <c r="C28" s="200" t="s">
        <v>699</v>
      </c>
      <c r="D28" s="243">
        <f>D29+D30</f>
        <v>23808809</v>
      </c>
      <c r="E28" s="243">
        <f t="shared" si="1"/>
        <v>24761161.36</v>
      </c>
      <c r="F28" s="243">
        <f t="shared" si="1"/>
        <v>25751607.8144</v>
      </c>
    </row>
    <row r="29" spans="2:6" s="98" customFormat="1" ht="15.75">
      <c r="B29" s="13"/>
      <c r="C29" s="227" t="s">
        <v>762</v>
      </c>
      <c r="D29" s="242">
        <f>STAKEHOLDER!C55</f>
        <v>23808809</v>
      </c>
      <c r="E29" s="243">
        <f t="shared" si="1"/>
        <v>24761161.36</v>
      </c>
      <c r="F29" s="243">
        <f t="shared" si="1"/>
        <v>25751607.8144</v>
      </c>
    </row>
    <row r="30" spans="2:6" s="98" customFormat="1" ht="15.75">
      <c r="B30" s="13"/>
      <c r="C30" s="227" t="s">
        <v>763</v>
      </c>
      <c r="D30" s="242"/>
      <c r="E30" s="243">
        <f t="shared" si="1"/>
        <v>0</v>
      </c>
      <c r="F30" s="243">
        <f t="shared" si="1"/>
        <v>0</v>
      </c>
    </row>
    <row r="31" spans="2:6" s="11" customFormat="1" ht="15.75">
      <c r="B31" s="182">
        <v>10306</v>
      </c>
      <c r="C31" s="182" t="s">
        <v>700</v>
      </c>
      <c r="D31" s="243">
        <f>D32+D33</f>
        <v>13820000</v>
      </c>
      <c r="E31" s="243">
        <f t="shared" si="1"/>
        <v>14372800</v>
      </c>
      <c r="F31" s="243">
        <f t="shared" si="1"/>
        <v>14947712</v>
      </c>
    </row>
    <row r="32" spans="2:6" s="98" customFormat="1" ht="15.75">
      <c r="B32" s="141"/>
      <c r="C32" s="227" t="s">
        <v>762</v>
      </c>
      <c r="D32" s="242">
        <f>STAKEHOLDER!C69</f>
        <v>13820000</v>
      </c>
      <c r="E32" s="243">
        <f t="shared" si="1"/>
        <v>14372800</v>
      </c>
      <c r="F32" s="243">
        <f t="shared" si="1"/>
        <v>14947712</v>
      </c>
    </row>
    <row r="33" spans="2:6" s="98" customFormat="1" ht="15.75">
      <c r="B33" s="141"/>
      <c r="C33" s="227" t="s">
        <v>763</v>
      </c>
      <c r="D33" s="242"/>
      <c r="E33" s="243">
        <f t="shared" si="1"/>
        <v>0</v>
      </c>
      <c r="F33" s="243">
        <f t="shared" si="1"/>
        <v>0</v>
      </c>
    </row>
    <row r="34" spans="2:6" s="11" customFormat="1" ht="15.75">
      <c r="B34" s="183">
        <v>10307</v>
      </c>
      <c r="C34" s="183" t="s">
        <v>701</v>
      </c>
      <c r="D34" s="243">
        <f>D35+D36</f>
        <v>15130000</v>
      </c>
      <c r="E34" s="243">
        <f t="shared" si="1"/>
        <v>15735200</v>
      </c>
      <c r="F34" s="243">
        <f t="shared" si="1"/>
        <v>16364608</v>
      </c>
    </row>
    <row r="35" spans="2:6" ht="15">
      <c r="B35" s="241"/>
      <c r="C35" s="227" t="s">
        <v>762</v>
      </c>
      <c r="D35" s="242">
        <f>STAKEHOLDER!C87</f>
        <v>12130000</v>
      </c>
      <c r="E35" s="243">
        <f t="shared" si="1"/>
        <v>12615200</v>
      </c>
      <c r="F35" s="243">
        <f t="shared" si="1"/>
        <v>13119808</v>
      </c>
    </row>
    <row r="36" spans="2:6" ht="15">
      <c r="B36" s="241"/>
      <c r="C36" s="227" t="s">
        <v>763</v>
      </c>
      <c r="D36" s="242">
        <f>STAKEHOLDER!C91</f>
        <v>3000000</v>
      </c>
      <c r="E36" s="243">
        <f t="shared" si="1"/>
        <v>3120000</v>
      </c>
      <c r="F36" s="243">
        <f t="shared" si="1"/>
        <v>3244800</v>
      </c>
    </row>
    <row r="37" spans="2:6" ht="15.75" thickBot="1">
      <c r="B37" s="943" t="s">
        <v>440</v>
      </c>
      <c r="C37" s="944"/>
      <c r="D37" s="216">
        <f>SUM(D16,D19,D22,D25,D28,D31,D34)</f>
        <v>743475263</v>
      </c>
      <c r="E37" s="216">
        <f>SUM(E16,E19,E22,E25,E28,E31,E34)</f>
        <v>773214273.52</v>
      </c>
      <c r="F37" s="216">
        <f>SUM(F16,F19,F22,F25,F28,F31,F34)</f>
        <v>804142844.4607999</v>
      </c>
    </row>
    <row r="38" ht="15">
      <c r="D38" s="9"/>
    </row>
  </sheetData>
  <sheetProtection/>
  <mergeCells count="8">
    <mergeCell ref="B37:C37"/>
    <mergeCell ref="B2:B3"/>
    <mergeCell ref="C2:C3"/>
    <mergeCell ref="E2:F2"/>
    <mergeCell ref="B11:C11"/>
    <mergeCell ref="B14:B15"/>
    <mergeCell ref="C14:C15"/>
    <mergeCell ref="E14:F14"/>
  </mergeCells>
  <printOptions/>
  <pageMargins left="0.7" right="0.7" top="0.75" bottom="0.75" header="0.3" footer="0.3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F21"/>
  <sheetViews>
    <sheetView zoomScalePageLayoutView="0" workbookViewId="0" topLeftCell="A3">
      <selection activeCell="B10" sqref="B10:F21"/>
    </sheetView>
  </sheetViews>
  <sheetFormatPr defaultColWidth="9.140625" defaultRowHeight="15"/>
  <cols>
    <col min="3" max="3" width="38.28125" style="0" customWidth="1"/>
    <col min="4" max="4" width="18.8515625" style="0" customWidth="1"/>
    <col min="5" max="5" width="15.8515625" style="246" customWidth="1"/>
    <col min="6" max="6" width="14.7109375" style="246" customWidth="1"/>
  </cols>
  <sheetData>
    <row r="2" spans="2:6" ht="25.5">
      <c r="B2" s="940" t="s">
        <v>753</v>
      </c>
      <c r="C2" s="940" t="s">
        <v>754</v>
      </c>
      <c r="D2" s="225" t="s">
        <v>764</v>
      </c>
      <c r="E2" s="947" t="s">
        <v>755</v>
      </c>
      <c r="F2" s="947"/>
    </row>
    <row r="3" spans="2:6" ht="15">
      <c r="B3" s="940"/>
      <c r="C3" s="940"/>
      <c r="D3" s="225" t="s">
        <v>756</v>
      </c>
      <c r="E3" s="252" t="s">
        <v>757</v>
      </c>
      <c r="F3" s="253" t="s">
        <v>765</v>
      </c>
    </row>
    <row r="4" spans="2:6" s="98" customFormat="1" ht="25.5">
      <c r="B4" s="221">
        <v>10501</v>
      </c>
      <c r="C4" s="258" t="s">
        <v>680</v>
      </c>
      <c r="D4" s="228">
        <f>D12</f>
        <v>1061699209</v>
      </c>
      <c r="E4" s="254">
        <f>1.04*D4</f>
        <v>1104167177.3600001</v>
      </c>
      <c r="F4" s="255">
        <f>SUM(1.04*E4)</f>
        <v>1148333864.4544</v>
      </c>
    </row>
    <row r="5" spans="2:6" s="98" customFormat="1" ht="15">
      <c r="B5" s="230">
        <v>10502</v>
      </c>
      <c r="C5" s="259" t="s">
        <v>703</v>
      </c>
      <c r="D5" s="228">
        <f>D15</f>
        <v>118727850</v>
      </c>
      <c r="E5" s="254">
        <f>1.04*D5</f>
        <v>123476964</v>
      </c>
      <c r="F5" s="255">
        <f>SUM(1.04*E5)</f>
        <v>128416042.56</v>
      </c>
    </row>
    <row r="6" spans="2:6" s="98" customFormat="1" ht="15">
      <c r="B6" s="221">
        <v>10503</v>
      </c>
      <c r="C6" s="221" t="s">
        <v>710</v>
      </c>
      <c r="D6" s="228">
        <f>D18</f>
        <v>169869500</v>
      </c>
      <c r="E6" s="254">
        <f>1.04*D6</f>
        <v>176664280</v>
      </c>
      <c r="F6" s="255">
        <f>SUM(1.04*E6)</f>
        <v>183730851.20000002</v>
      </c>
    </row>
    <row r="7" spans="2:6" ht="15">
      <c r="B7" s="940" t="s">
        <v>758</v>
      </c>
      <c r="C7" s="940"/>
      <c r="D7" s="231">
        <f>SUM(D4:D6)</f>
        <v>1350296559</v>
      </c>
      <c r="E7" s="231">
        <f>SUM(E4:E6)</f>
        <v>1404308421.3600001</v>
      </c>
      <c r="F7" s="231">
        <f>SUM(F4:F6)</f>
        <v>1460480758.2144</v>
      </c>
    </row>
    <row r="8" spans="2:4" ht="15">
      <c r="B8" s="98"/>
      <c r="C8" s="98"/>
      <c r="D8" s="98"/>
    </row>
    <row r="9" spans="2:4" ht="15">
      <c r="B9" s="98"/>
      <c r="C9" s="98"/>
      <c r="D9" s="98"/>
    </row>
    <row r="10" spans="2:6" ht="25.5">
      <c r="B10" s="948" t="s">
        <v>759</v>
      </c>
      <c r="C10" s="948" t="s">
        <v>760</v>
      </c>
      <c r="D10" s="323" t="s">
        <v>761</v>
      </c>
      <c r="E10" s="950" t="s">
        <v>755</v>
      </c>
      <c r="F10" s="951"/>
    </row>
    <row r="11" spans="2:6" ht="15">
      <c r="B11" s="949"/>
      <c r="C11" s="949"/>
      <c r="D11" s="322" t="s">
        <v>756</v>
      </c>
      <c r="E11" s="324" t="s">
        <v>757</v>
      </c>
      <c r="F11" s="253" t="s">
        <v>765</v>
      </c>
    </row>
    <row r="12" spans="2:6" ht="25.5">
      <c r="B12" s="217">
        <v>10501</v>
      </c>
      <c r="C12" s="238" t="s">
        <v>680</v>
      </c>
      <c r="D12" s="231">
        <f>SUM(D13+D14)</f>
        <v>1061699209</v>
      </c>
      <c r="E12" s="256">
        <f>SUM(D12*1.04)</f>
        <v>1104167177.3600001</v>
      </c>
      <c r="F12" s="256">
        <f>SUM(E12*1.04)</f>
        <v>1148333864.4544</v>
      </c>
    </row>
    <row r="13" spans="2:6" s="98" customFormat="1" ht="15">
      <c r="B13" s="217"/>
      <c r="C13" s="258" t="s">
        <v>767</v>
      </c>
      <c r="D13" s="229">
        <f>FINANCE!E95</f>
        <v>1061699209</v>
      </c>
      <c r="E13" s="257">
        <f aca="true" t="shared" si="0" ref="E13:F20">SUM(D13*1.04)</f>
        <v>1104167177.3600001</v>
      </c>
      <c r="F13" s="257">
        <f t="shared" si="0"/>
        <v>1148333864.4544</v>
      </c>
    </row>
    <row r="14" spans="2:6" s="93" customFormat="1" ht="15">
      <c r="B14" s="221"/>
      <c r="C14" s="258" t="s">
        <v>334</v>
      </c>
      <c r="D14" s="229">
        <v>0</v>
      </c>
      <c r="E14" s="257">
        <f t="shared" si="0"/>
        <v>0</v>
      </c>
      <c r="F14" s="257">
        <f t="shared" si="0"/>
        <v>0</v>
      </c>
    </row>
    <row r="15" spans="2:6" ht="15">
      <c r="B15" s="234">
        <v>10502</v>
      </c>
      <c r="C15" s="249" t="s">
        <v>703</v>
      </c>
      <c r="D15" s="237">
        <f>SUM(D16+D17)</f>
        <v>118727850</v>
      </c>
      <c r="E15" s="256">
        <f t="shared" si="0"/>
        <v>123476964</v>
      </c>
      <c r="F15" s="256">
        <f t="shared" si="0"/>
        <v>128416042.56</v>
      </c>
    </row>
    <row r="16" spans="2:6" s="98" customFormat="1" ht="15">
      <c r="B16" s="234"/>
      <c r="C16" s="258" t="s">
        <v>767</v>
      </c>
      <c r="D16" s="236">
        <f>FINANCE!E217</f>
        <v>118727850</v>
      </c>
      <c r="E16" s="257">
        <f t="shared" si="0"/>
        <v>123476964</v>
      </c>
      <c r="F16" s="257">
        <f t="shared" si="0"/>
        <v>128416042.56</v>
      </c>
    </row>
    <row r="17" spans="2:6" s="98" customFormat="1" ht="15">
      <c r="B17" s="234"/>
      <c r="C17" s="258" t="s">
        <v>334</v>
      </c>
      <c r="D17" s="236">
        <f>FINANCE!E220</f>
        <v>0</v>
      </c>
      <c r="E17" s="256">
        <f t="shared" si="0"/>
        <v>0</v>
      </c>
      <c r="F17" s="256">
        <f t="shared" si="0"/>
        <v>0</v>
      </c>
    </row>
    <row r="18" spans="2:6" ht="15">
      <c r="B18" s="217">
        <v>10503</v>
      </c>
      <c r="C18" s="217" t="s">
        <v>710</v>
      </c>
      <c r="D18" s="231">
        <f>SUM(D19+D20)</f>
        <v>169869500</v>
      </c>
      <c r="E18" s="256">
        <f t="shared" si="0"/>
        <v>176664280</v>
      </c>
      <c r="F18" s="256">
        <f t="shared" si="0"/>
        <v>183730851.20000002</v>
      </c>
    </row>
    <row r="19" spans="2:6" ht="15">
      <c r="B19" s="322"/>
      <c r="C19" s="258" t="s">
        <v>767</v>
      </c>
      <c r="D19" s="229">
        <f>PLANNING!E156</f>
        <v>169869500</v>
      </c>
      <c r="E19" s="257">
        <f t="shared" si="0"/>
        <v>176664280</v>
      </c>
      <c r="F19" s="257">
        <f t="shared" si="0"/>
        <v>183730851.20000002</v>
      </c>
    </row>
    <row r="20" spans="2:6" ht="15">
      <c r="B20" s="227"/>
      <c r="C20" s="258" t="s">
        <v>334</v>
      </c>
      <c r="D20" s="229">
        <f>PLANNING!E157</f>
        <v>0</v>
      </c>
      <c r="E20" s="256">
        <f>SUM(D20*1.04)</f>
        <v>0</v>
      </c>
      <c r="F20" s="256">
        <f t="shared" si="0"/>
        <v>0</v>
      </c>
    </row>
    <row r="21" spans="2:6" ht="15">
      <c r="B21" s="945" t="s">
        <v>440</v>
      </c>
      <c r="C21" s="946"/>
      <c r="D21" s="231">
        <f>SUM(D12,I19,D18,D15)</f>
        <v>1350296559</v>
      </c>
      <c r="E21" s="231">
        <f>SUM(E12,J19,E18,E15)</f>
        <v>1404308421.3600001</v>
      </c>
      <c r="F21" s="231">
        <f>SUM(F12,K19,F18,F15)</f>
        <v>1460480758.2144</v>
      </c>
    </row>
  </sheetData>
  <sheetProtection/>
  <mergeCells count="8">
    <mergeCell ref="B21:C21"/>
    <mergeCell ref="B2:B3"/>
    <mergeCell ref="C2:C3"/>
    <mergeCell ref="E2:F2"/>
    <mergeCell ref="B7:C7"/>
    <mergeCell ref="B10:B11"/>
    <mergeCell ref="C10:C11"/>
    <mergeCell ref="E10:F10"/>
  </mergeCells>
  <printOptions/>
  <pageMargins left="0.7" right="0.7" top="0.75" bottom="0.75" header="0.3" footer="0.3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7">
      <selection activeCell="B14" sqref="B14:F37"/>
    </sheetView>
  </sheetViews>
  <sheetFormatPr defaultColWidth="9.140625" defaultRowHeight="15"/>
  <cols>
    <col min="3" max="3" width="33.00390625" style="0" customWidth="1"/>
    <col min="4" max="4" width="16.57421875" style="0" customWidth="1"/>
    <col min="5" max="5" width="15.57421875" style="0" customWidth="1"/>
    <col min="6" max="6" width="14.7109375" style="0" customWidth="1"/>
    <col min="8" max="8" width="10.140625" style="0" bestFit="1" customWidth="1"/>
  </cols>
  <sheetData>
    <row r="2" spans="2:6" ht="25.5">
      <c r="B2" s="940" t="s">
        <v>753</v>
      </c>
      <c r="C2" s="940" t="s">
        <v>754</v>
      </c>
      <c r="D2" s="225" t="s">
        <v>764</v>
      </c>
      <c r="E2" s="940" t="s">
        <v>755</v>
      </c>
      <c r="F2" s="940"/>
    </row>
    <row r="3" spans="2:6" ht="15">
      <c r="B3" s="940"/>
      <c r="C3" s="940"/>
      <c r="D3" s="225" t="s">
        <v>756</v>
      </c>
      <c r="E3" s="225" t="s">
        <v>757</v>
      </c>
      <c r="F3" s="226" t="s">
        <v>765</v>
      </c>
    </row>
    <row r="4" spans="2:6" s="98" customFormat="1" ht="25.5">
      <c r="B4" s="221">
        <v>10801</v>
      </c>
      <c r="C4" s="258" t="s">
        <v>680</v>
      </c>
      <c r="D4" s="254">
        <f>D16</f>
        <v>51436186</v>
      </c>
      <c r="E4" s="228">
        <f>1.04*D4</f>
        <v>53493633.440000005</v>
      </c>
      <c r="F4" s="233">
        <f>1.04*E4</f>
        <v>55633378.777600005</v>
      </c>
    </row>
    <row r="5" spans="2:6" s="98" customFormat="1" ht="15">
      <c r="B5" s="230">
        <v>10802</v>
      </c>
      <c r="C5" s="259" t="s">
        <v>719</v>
      </c>
      <c r="D5" s="228">
        <f>D19</f>
        <v>53000000</v>
      </c>
      <c r="E5" s="228">
        <f aca="true" t="shared" si="0" ref="E5:F10">1.04*D5</f>
        <v>55120000</v>
      </c>
      <c r="F5" s="233">
        <f t="shared" si="0"/>
        <v>57324800</v>
      </c>
    </row>
    <row r="6" spans="2:6" s="98" customFormat="1" ht="15">
      <c r="B6" s="230">
        <v>10803</v>
      </c>
      <c r="C6" s="259" t="s">
        <v>720</v>
      </c>
      <c r="D6" s="228" t="e">
        <f>D22</f>
        <v>#REF!</v>
      </c>
      <c r="E6" s="228" t="e">
        <f t="shared" si="0"/>
        <v>#REF!</v>
      </c>
      <c r="F6" s="233" t="e">
        <f t="shared" si="0"/>
        <v>#REF!</v>
      </c>
    </row>
    <row r="7" spans="2:6" s="98" customFormat="1" ht="15">
      <c r="B7" s="230">
        <v>10804</v>
      </c>
      <c r="C7" s="258" t="s">
        <v>794</v>
      </c>
      <c r="D7" s="228">
        <f>D25</f>
        <v>0</v>
      </c>
      <c r="E7" s="228">
        <f>E25</f>
        <v>0</v>
      </c>
      <c r="F7" s="228">
        <f>F25</f>
        <v>0</v>
      </c>
    </row>
    <row r="8" spans="2:6" s="98" customFormat="1" ht="15">
      <c r="B8" s="260">
        <v>10805</v>
      </c>
      <c r="C8" s="221" t="s">
        <v>723</v>
      </c>
      <c r="D8" s="228">
        <f>D28</f>
        <v>22856925</v>
      </c>
      <c r="E8" s="228">
        <f t="shared" si="0"/>
        <v>23771202</v>
      </c>
      <c r="F8" s="233">
        <f t="shared" si="0"/>
        <v>24722050.080000002</v>
      </c>
    </row>
    <row r="9" spans="2:6" s="98" customFormat="1" ht="15">
      <c r="B9" s="230">
        <v>10806</v>
      </c>
      <c r="C9" s="259" t="s">
        <v>721</v>
      </c>
      <c r="D9" s="228">
        <f>D31</f>
        <v>5448000</v>
      </c>
      <c r="E9" s="228">
        <f t="shared" si="0"/>
        <v>5665920</v>
      </c>
      <c r="F9" s="233">
        <f t="shared" si="0"/>
        <v>5892556.8</v>
      </c>
    </row>
    <row r="10" spans="2:6" s="98" customFormat="1" ht="15">
      <c r="B10" s="230">
        <v>10807</v>
      </c>
      <c r="C10" s="259" t="s">
        <v>722</v>
      </c>
      <c r="D10" s="228">
        <f>D34</f>
        <v>2250000</v>
      </c>
      <c r="E10" s="228">
        <f t="shared" si="0"/>
        <v>2340000</v>
      </c>
      <c r="F10" s="233">
        <f t="shared" si="0"/>
        <v>2433600</v>
      </c>
    </row>
    <row r="11" spans="2:6" ht="15">
      <c r="B11" s="940" t="s">
        <v>758</v>
      </c>
      <c r="C11" s="940"/>
      <c r="D11" s="231" t="e">
        <f>SUM(D4:D10)</f>
        <v>#REF!</v>
      </c>
      <c r="E11" s="231" t="e">
        <f>SUM(E4:E10)</f>
        <v>#REF!</v>
      </c>
      <c r="F11" s="231" t="e">
        <f>SUM(F4:F10)</f>
        <v>#REF!</v>
      </c>
    </row>
    <row r="12" spans="2:6" ht="15">
      <c r="B12" s="146"/>
      <c r="C12" s="146"/>
      <c r="D12" s="146"/>
      <c r="E12" s="146"/>
      <c r="F12" s="146"/>
    </row>
    <row r="13" spans="2:6" ht="15">
      <c r="B13" s="146"/>
      <c r="C13" s="146"/>
      <c r="D13" s="146"/>
      <c r="E13" s="146"/>
      <c r="F13" s="146"/>
    </row>
    <row r="14" spans="2:6" ht="25.5">
      <c r="B14" s="940" t="s">
        <v>759</v>
      </c>
      <c r="C14" s="940" t="s">
        <v>760</v>
      </c>
      <c r="D14" s="235" t="s">
        <v>761</v>
      </c>
      <c r="E14" s="942" t="s">
        <v>755</v>
      </c>
      <c r="F14" s="942"/>
    </row>
    <row r="15" spans="2:6" ht="15">
      <c r="B15" s="940"/>
      <c r="C15" s="940"/>
      <c r="D15" s="225" t="s">
        <v>756</v>
      </c>
      <c r="E15" s="225" t="s">
        <v>757</v>
      </c>
      <c r="F15" s="226" t="s">
        <v>765</v>
      </c>
    </row>
    <row r="16" spans="2:6" s="11" customFormat="1" ht="25.5">
      <c r="B16" s="217">
        <v>10801</v>
      </c>
      <c r="C16" s="238" t="s">
        <v>680</v>
      </c>
      <c r="D16" s="231">
        <f>D17+D18</f>
        <v>51436186</v>
      </c>
      <c r="E16" s="231">
        <f>1.04*D16</f>
        <v>53493633.440000005</v>
      </c>
      <c r="F16" s="231">
        <f>1.04*E16</f>
        <v>55633378.777600005</v>
      </c>
    </row>
    <row r="17" spans="2:6" s="93" customFormat="1" ht="15">
      <c r="B17" s="221"/>
      <c r="C17" s="258" t="s">
        <v>762</v>
      </c>
      <c r="D17" s="229">
        <f>'LIVESTOCK &amp; VET'!E77</f>
        <v>51436186</v>
      </c>
      <c r="E17" s="229">
        <f aca="true" t="shared" si="1" ref="E17:F36">1.04*D17</f>
        <v>53493633.440000005</v>
      </c>
      <c r="F17" s="229">
        <f t="shared" si="1"/>
        <v>55633378.777600005</v>
      </c>
    </row>
    <row r="18" spans="2:6" s="93" customFormat="1" ht="15">
      <c r="B18" s="221"/>
      <c r="C18" s="258" t="s">
        <v>763</v>
      </c>
      <c r="D18" s="229">
        <f>'LIVESTOCK &amp; VET'!E81</f>
        <v>0</v>
      </c>
      <c r="E18" s="229">
        <f t="shared" si="1"/>
        <v>0</v>
      </c>
      <c r="F18" s="229">
        <f t="shared" si="1"/>
        <v>0</v>
      </c>
    </row>
    <row r="19" spans="2:6" s="11" customFormat="1" ht="15">
      <c r="B19" s="234">
        <v>10802</v>
      </c>
      <c r="C19" s="249" t="s">
        <v>719</v>
      </c>
      <c r="D19" s="237">
        <f>D20+D21</f>
        <v>53000000</v>
      </c>
      <c r="E19" s="231">
        <f t="shared" si="1"/>
        <v>55120000</v>
      </c>
      <c r="F19" s="231">
        <f t="shared" si="1"/>
        <v>57324800</v>
      </c>
    </row>
    <row r="20" spans="2:6" s="93" customFormat="1" ht="15">
      <c r="B20" s="230"/>
      <c r="C20" s="258" t="s">
        <v>762</v>
      </c>
      <c r="D20" s="236">
        <f>'LIVESTOCK &amp; VET'!E93</f>
        <v>53000000</v>
      </c>
      <c r="E20" s="229">
        <f t="shared" si="1"/>
        <v>55120000</v>
      </c>
      <c r="F20" s="229">
        <f t="shared" si="1"/>
        <v>57324800</v>
      </c>
    </row>
    <row r="21" spans="2:6" s="93" customFormat="1" ht="15">
      <c r="B21" s="230"/>
      <c r="C21" s="258" t="s">
        <v>763</v>
      </c>
      <c r="D21" s="236">
        <f>'LIVESTOCK &amp; VET'!E101</f>
        <v>0</v>
      </c>
      <c r="E21" s="229">
        <f t="shared" si="1"/>
        <v>0</v>
      </c>
      <c r="F21" s="229">
        <f t="shared" si="1"/>
        <v>0</v>
      </c>
    </row>
    <row r="22" spans="2:6" s="11" customFormat="1" ht="15">
      <c r="B22" s="234">
        <v>10803</v>
      </c>
      <c r="C22" s="249" t="s">
        <v>720</v>
      </c>
      <c r="D22" s="231" t="e">
        <f>D23+D24</f>
        <v>#REF!</v>
      </c>
      <c r="E22" s="231" t="e">
        <f t="shared" si="1"/>
        <v>#REF!</v>
      </c>
      <c r="F22" s="231" t="e">
        <f t="shared" si="1"/>
        <v>#REF!</v>
      </c>
    </row>
    <row r="23" spans="2:6" s="98" customFormat="1" ht="15">
      <c r="B23" s="230"/>
      <c r="C23" s="258" t="s">
        <v>762</v>
      </c>
      <c r="D23" s="229">
        <f>'LIVESTOCK &amp; VET'!E113</f>
        <v>3250000</v>
      </c>
      <c r="E23" s="229">
        <f t="shared" si="1"/>
        <v>3380000</v>
      </c>
      <c r="F23" s="229">
        <f t="shared" si="1"/>
        <v>3515200</v>
      </c>
    </row>
    <row r="24" spans="2:6" s="98" customFormat="1" ht="15">
      <c r="B24" s="230"/>
      <c r="C24" s="258" t="s">
        <v>763</v>
      </c>
      <c r="D24" s="229" t="e">
        <f>'LIVESTOCK &amp; VET'!E117</f>
        <v>#REF!</v>
      </c>
      <c r="E24" s="231" t="e">
        <f t="shared" si="1"/>
        <v>#REF!</v>
      </c>
      <c r="F24" s="231" t="e">
        <f t="shared" si="1"/>
        <v>#REF!</v>
      </c>
    </row>
    <row r="25" spans="2:6" s="11" customFormat="1" ht="15">
      <c r="B25" s="234">
        <v>10804</v>
      </c>
      <c r="C25" s="238" t="s">
        <v>794</v>
      </c>
      <c r="D25" s="231">
        <f>D26+D27</f>
        <v>0</v>
      </c>
      <c r="E25" s="231">
        <f>D25*1.04</f>
        <v>0</v>
      </c>
      <c r="F25" s="231">
        <f t="shared" si="1"/>
        <v>0</v>
      </c>
    </row>
    <row r="26" spans="2:6" s="98" customFormat="1" ht="15">
      <c r="B26" s="230"/>
      <c r="C26" s="258" t="s">
        <v>762</v>
      </c>
      <c r="D26" s="229"/>
      <c r="E26" s="231">
        <f>D26*1.04</f>
        <v>0</v>
      </c>
      <c r="F26" s="231">
        <f t="shared" si="1"/>
        <v>0</v>
      </c>
    </row>
    <row r="27" spans="2:6" s="98" customFormat="1" ht="15">
      <c r="B27" s="230"/>
      <c r="C27" s="258" t="s">
        <v>763</v>
      </c>
      <c r="D27" s="229">
        <f>'LIVESTOCK &amp; VET'!E139</f>
        <v>0</v>
      </c>
      <c r="E27" s="231">
        <f>D27*1.04</f>
        <v>0</v>
      </c>
      <c r="F27" s="231">
        <f t="shared" si="1"/>
        <v>0</v>
      </c>
    </row>
    <row r="28" spans="2:6" s="11" customFormat="1" ht="15">
      <c r="B28" s="248">
        <v>10805</v>
      </c>
      <c r="C28" s="217" t="s">
        <v>723</v>
      </c>
      <c r="D28" s="231">
        <f>D29+D30</f>
        <v>22856925</v>
      </c>
      <c r="E28" s="231">
        <f t="shared" si="1"/>
        <v>23771202</v>
      </c>
      <c r="F28" s="231">
        <f t="shared" si="1"/>
        <v>24722050.080000002</v>
      </c>
    </row>
    <row r="29" spans="2:6" s="93" customFormat="1" ht="15">
      <c r="B29" s="260"/>
      <c r="C29" s="258" t="s">
        <v>762</v>
      </c>
      <c r="D29" s="229">
        <f>'AGRIC &amp; COOP'!E79</f>
        <v>22856925</v>
      </c>
      <c r="E29" s="229">
        <f t="shared" si="1"/>
        <v>23771202</v>
      </c>
      <c r="F29" s="229">
        <f t="shared" si="1"/>
        <v>24722050.080000002</v>
      </c>
    </row>
    <row r="30" spans="2:6" s="93" customFormat="1" ht="15">
      <c r="B30" s="260"/>
      <c r="C30" s="258" t="s">
        <v>763</v>
      </c>
      <c r="D30" s="229">
        <f>'AGRIC &amp; COOP'!E91</f>
        <v>0</v>
      </c>
      <c r="E30" s="229">
        <f t="shared" si="1"/>
        <v>0</v>
      </c>
      <c r="F30" s="229">
        <f t="shared" si="1"/>
        <v>0</v>
      </c>
    </row>
    <row r="31" spans="2:6" s="11" customFormat="1" ht="15">
      <c r="B31" s="234">
        <v>10806</v>
      </c>
      <c r="C31" s="249" t="s">
        <v>721</v>
      </c>
      <c r="D31" s="231">
        <f>D32+D33</f>
        <v>5448000</v>
      </c>
      <c r="E31" s="231">
        <f t="shared" si="1"/>
        <v>5665920</v>
      </c>
      <c r="F31" s="231">
        <f t="shared" si="1"/>
        <v>5892556.8</v>
      </c>
    </row>
    <row r="32" spans="2:6" s="93" customFormat="1" ht="15">
      <c r="B32" s="230"/>
      <c r="C32" s="258" t="s">
        <v>762</v>
      </c>
      <c r="D32" s="229">
        <f>'AGRIC &amp; COOP'!E105</f>
        <v>5448000</v>
      </c>
      <c r="E32" s="229">
        <f t="shared" si="1"/>
        <v>5665920</v>
      </c>
      <c r="F32" s="229">
        <f t="shared" si="1"/>
        <v>5892556.8</v>
      </c>
    </row>
    <row r="33" spans="2:6" s="93" customFormat="1" ht="15">
      <c r="B33" s="230"/>
      <c r="C33" s="258" t="s">
        <v>763</v>
      </c>
      <c r="D33" s="229">
        <f>'AGRIC &amp; COOP'!E111</f>
        <v>0</v>
      </c>
      <c r="E33" s="229">
        <f t="shared" si="1"/>
        <v>0</v>
      </c>
      <c r="F33" s="229">
        <f t="shared" si="1"/>
        <v>0</v>
      </c>
    </row>
    <row r="34" spans="2:8" s="11" customFormat="1" ht="15">
      <c r="B34" s="234">
        <v>10807</v>
      </c>
      <c r="C34" s="249" t="s">
        <v>722</v>
      </c>
      <c r="D34" s="231">
        <f>D35+D36</f>
        <v>2250000</v>
      </c>
      <c r="E34" s="231">
        <f t="shared" si="1"/>
        <v>2340000</v>
      </c>
      <c r="F34" s="231">
        <f t="shared" si="1"/>
        <v>2433600</v>
      </c>
      <c r="H34" s="399" t="e">
        <f>D37-1162312670</f>
        <v>#REF!</v>
      </c>
    </row>
    <row r="35" spans="2:6" s="93" customFormat="1" ht="15">
      <c r="B35" s="227"/>
      <c r="C35" s="258" t="s">
        <v>762</v>
      </c>
      <c r="D35" s="229">
        <f>'AGRIC &amp; COOP'!E124</f>
        <v>2250000</v>
      </c>
      <c r="E35" s="229">
        <f t="shared" si="1"/>
        <v>2340000</v>
      </c>
      <c r="F35" s="229">
        <f t="shared" si="1"/>
        <v>2433600</v>
      </c>
    </row>
    <row r="36" spans="2:6" s="93" customFormat="1" ht="15">
      <c r="B36" s="227"/>
      <c r="C36" s="258" t="s">
        <v>763</v>
      </c>
      <c r="D36" s="229">
        <v>0</v>
      </c>
      <c r="E36" s="229">
        <f t="shared" si="1"/>
        <v>0</v>
      </c>
      <c r="F36" s="229">
        <f>1.04*E36</f>
        <v>0</v>
      </c>
    </row>
    <row r="37" spans="2:6" ht="15">
      <c r="B37" s="940" t="s">
        <v>440</v>
      </c>
      <c r="C37" s="940"/>
      <c r="D37" s="231" t="e">
        <f>SUM(D16,D19,D22,D28,D31,D34,D25)</f>
        <v>#REF!</v>
      </c>
      <c r="E37" s="231" t="e">
        <f>SUM(E16,E19,E22,E28,E31,E34)</f>
        <v>#REF!</v>
      </c>
      <c r="F37" s="231" t="e">
        <f>SUM(F16,F19,F22,F28,F31,F34)</f>
        <v>#REF!</v>
      </c>
    </row>
  </sheetData>
  <sheetProtection/>
  <mergeCells count="8">
    <mergeCell ref="B37:C37"/>
    <mergeCell ref="B2:B3"/>
    <mergeCell ref="C2:C3"/>
    <mergeCell ref="E2:F2"/>
    <mergeCell ref="B11:C11"/>
    <mergeCell ref="B14:B15"/>
    <mergeCell ref="C14:C15"/>
    <mergeCell ref="E14:F14"/>
  </mergeCells>
  <printOptions/>
  <pageMargins left="0.7" right="0.7" top="0.75" bottom="0.75" header="0.3" footer="0.3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6">
      <selection activeCell="B11" sqref="B11:F25"/>
    </sheetView>
  </sheetViews>
  <sheetFormatPr defaultColWidth="9.140625" defaultRowHeight="15"/>
  <cols>
    <col min="3" max="3" width="30.00390625" style="0" customWidth="1"/>
    <col min="4" max="4" width="14.7109375" style="0" customWidth="1"/>
    <col min="5" max="5" width="14.7109375" style="246" customWidth="1"/>
    <col min="6" max="6" width="13.57421875" style="246" customWidth="1"/>
  </cols>
  <sheetData>
    <row r="2" spans="2:6" ht="25.5">
      <c r="B2" s="940" t="s">
        <v>753</v>
      </c>
      <c r="C2" s="940" t="s">
        <v>754</v>
      </c>
      <c r="D2" s="225" t="s">
        <v>764</v>
      </c>
      <c r="E2" s="947" t="s">
        <v>755</v>
      </c>
      <c r="F2" s="947"/>
    </row>
    <row r="3" spans="2:6" ht="15">
      <c r="B3" s="940"/>
      <c r="C3" s="940"/>
      <c r="D3" s="225" t="s">
        <v>756</v>
      </c>
      <c r="E3" s="252" t="s">
        <v>757</v>
      </c>
      <c r="F3" s="253" t="s">
        <v>765</v>
      </c>
    </row>
    <row r="4" spans="2:6" s="93" customFormat="1" ht="25.5">
      <c r="B4" s="221">
        <v>10601</v>
      </c>
      <c r="C4" s="258" t="s">
        <v>680</v>
      </c>
      <c r="D4" s="267">
        <f>D13</f>
        <v>136621579</v>
      </c>
      <c r="E4" s="268">
        <f>SUM(1.04*D4)</f>
        <v>142086442.16</v>
      </c>
      <c r="F4" s="269">
        <f>E4*1.04</f>
        <v>147769899.8464</v>
      </c>
    </row>
    <row r="5" spans="2:6" s="93" customFormat="1" ht="15">
      <c r="B5" s="230">
        <v>10602</v>
      </c>
      <c r="C5" s="259" t="s">
        <v>725</v>
      </c>
      <c r="D5" s="267" t="e">
        <f>D16</f>
        <v>#REF!</v>
      </c>
      <c r="E5" s="268" t="e">
        <f>SUM(1.04*D5)</f>
        <v>#REF!</v>
      </c>
      <c r="F5" s="269" t="e">
        <f>E5*1.04</f>
        <v>#REF!</v>
      </c>
    </row>
    <row r="6" spans="2:6" s="93" customFormat="1" ht="15">
      <c r="B6" s="230">
        <v>10603</v>
      </c>
      <c r="C6" s="259" t="str">
        <f>C19</f>
        <v>Environment Management</v>
      </c>
      <c r="D6" s="267" t="e">
        <f>D19</f>
        <v>#REF!</v>
      </c>
      <c r="E6" s="268" t="e">
        <f>SUM(1.04*D6)</f>
        <v>#REF!</v>
      </c>
      <c r="F6" s="269" t="e">
        <f>E6*1.04</f>
        <v>#REF!</v>
      </c>
    </row>
    <row r="7" spans="2:6" s="93" customFormat="1" ht="15">
      <c r="B7" s="221">
        <v>10604</v>
      </c>
      <c r="C7" s="221" t="s">
        <v>726</v>
      </c>
      <c r="D7" s="267">
        <f>D22</f>
        <v>95050000</v>
      </c>
      <c r="E7" s="268">
        <f>SUM(1.04*D7)</f>
        <v>98852000</v>
      </c>
      <c r="F7" s="269">
        <f>E7*1.04</f>
        <v>102806080</v>
      </c>
    </row>
    <row r="8" spans="2:6" ht="15">
      <c r="B8" s="941" t="s">
        <v>758</v>
      </c>
      <c r="C8" s="941"/>
      <c r="D8" s="243" t="e">
        <f>SUM(D4:D7)</f>
        <v>#REF!</v>
      </c>
      <c r="E8" s="243" t="e">
        <f>SUM(E4:E7)</f>
        <v>#REF!</v>
      </c>
      <c r="F8" s="243" t="e">
        <f>SUM(F4:F7)</f>
        <v>#REF!</v>
      </c>
    </row>
    <row r="9" spans="2:6" ht="15">
      <c r="B9" s="250"/>
      <c r="C9" s="250"/>
      <c r="D9" s="250"/>
      <c r="E9" s="270"/>
      <c r="F9" s="270"/>
    </row>
    <row r="10" spans="2:6" ht="15">
      <c r="B10" s="250"/>
      <c r="C10" s="250"/>
      <c r="D10" s="250"/>
      <c r="E10" s="270"/>
      <c r="F10" s="270"/>
    </row>
    <row r="11" spans="2:6" ht="25.5">
      <c r="B11" s="940" t="s">
        <v>759</v>
      </c>
      <c r="C11" s="940" t="s">
        <v>760</v>
      </c>
      <c r="D11" s="235" t="s">
        <v>761</v>
      </c>
      <c r="E11" s="952" t="s">
        <v>755</v>
      </c>
      <c r="F11" s="952"/>
    </row>
    <row r="12" spans="2:6" ht="15">
      <c r="B12" s="940"/>
      <c r="C12" s="940"/>
      <c r="D12" s="225" t="s">
        <v>756</v>
      </c>
      <c r="E12" s="252" t="s">
        <v>757</v>
      </c>
      <c r="F12" s="253" t="s">
        <v>765</v>
      </c>
    </row>
    <row r="13" spans="2:6" s="11" customFormat="1" ht="25.5">
      <c r="B13" s="217">
        <v>10601</v>
      </c>
      <c r="C13" s="238" t="s">
        <v>680</v>
      </c>
      <c r="D13" s="243">
        <f>D14+D15</f>
        <v>136621579</v>
      </c>
      <c r="E13" s="265">
        <f>D13*1.04</f>
        <v>142086442.16</v>
      </c>
      <c r="F13" s="265">
        <f>E13*1.04</f>
        <v>147769899.8464</v>
      </c>
    </row>
    <row r="14" spans="2:6" s="93" customFormat="1" ht="15">
      <c r="B14" s="221"/>
      <c r="C14" s="258" t="s">
        <v>762</v>
      </c>
      <c r="D14" s="242">
        <f>'ENERGY &amp; ENV'!E83</f>
        <v>136621579</v>
      </c>
      <c r="E14" s="266">
        <f aca="true" t="shared" si="0" ref="E14:F24">D14*1.04</f>
        <v>142086442.16</v>
      </c>
      <c r="F14" s="266">
        <f t="shared" si="0"/>
        <v>147769899.8464</v>
      </c>
    </row>
    <row r="15" spans="2:6" s="98" customFormat="1" ht="15">
      <c r="B15" s="221"/>
      <c r="C15" s="258" t="s">
        <v>763</v>
      </c>
      <c r="D15" s="243">
        <v>0</v>
      </c>
      <c r="E15" s="265">
        <f t="shared" si="0"/>
        <v>0</v>
      </c>
      <c r="F15" s="265">
        <f t="shared" si="0"/>
        <v>0</v>
      </c>
    </row>
    <row r="16" spans="2:6" s="11" customFormat="1" ht="15">
      <c r="B16" s="234">
        <v>10602</v>
      </c>
      <c r="C16" s="249" t="s">
        <v>725</v>
      </c>
      <c r="D16" s="243" t="e">
        <f>D17+D18</f>
        <v>#REF!</v>
      </c>
      <c r="E16" s="265" t="e">
        <f t="shared" si="0"/>
        <v>#REF!</v>
      </c>
      <c r="F16" s="265" t="e">
        <f t="shared" si="0"/>
        <v>#REF!</v>
      </c>
    </row>
    <row r="17" spans="2:6" s="93" customFormat="1" ht="15">
      <c r="B17" s="230"/>
      <c r="C17" s="258" t="s">
        <v>762</v>
      </c>
      <c r="D17" s="242">
        <f>'ENERGY &amp; ENV'!E91</f>
        <v>2550000</v>
      </c>
      <c r="E17" s="266">
        <f t="shared" si="0"/>
        <v>2652000</v>
      </c>
      <c r="F17" s="266">
        <f t="shared" si="0"/>
        <v>2758080</v>
      </c>
    </row>
    <row r="18" spans="2:6" s="98" customFormat="1" ht="15">
      <c r="B18" s="230"/>
      <c r="C18" s="258" t="s">
        <v>763</v>
      </c>
      <c r="D18" s="242" t="e">
        <f>'ENERGY &amp; ENV'!E95</f>
        <v>#REF!</v>
      </c>
      <c r="E18" s="266" t="e">
        <f t="shared" si="0"/>
        <v>#REF!</v>
      </c>
      <c r="F18" s="266" t="e">
        <f t="shared" si="0"/>
        <v>#REF!</v>
      </c>
    </row>
    <row r="19" spans="2:6" s="11" customFormat="1" ht="15">
      <c r="B19" s="234">
        <v>10603</v>
      </c>
      <c r="C19" s="238" t="s">
        <v>807</v>
      </c>
      <c r="D19" s="243" t="e">
        <f>D20+D21</f>
        <v>#REF!</v>
      </c>
      <c r="E19" s="265" t="e">
        <f>D19*1.04</f>
        <v>#REF!</v>
      </c>
      <c r="F19" s="265" t="e">
        <f t="shared" si="0"/>
        <v>#REF!</v>
      </c>
    </row>
    <row r="20" spans="2:6" s="98" customFormat="1" ht="15">
      <c r="B20" s="230"/>
      <c r="C20" s="258" t="s">
        <v>762</v>
      </c>
      <c r="D20" s="243"/>
      <c r="E20" s="265">
        <f>D20*1.04</f>
        <v>0</v>
      </c>
      <c r="F20" s="265">
        <f t="shared" si="0"/>
        <v>0</v>
      </c>
    </row>
    <row r="21" spans="2:6" s="98" customFormat="1" ht="15">
      <c r="B21" s="230"/>
      <c r="C21" s="258" t="s">
        <v>763</v>
      </c>
      <c r="D21" s="242" t="e">
        <f>'ENERGY &amp; ENV'!E102</f>
        <v>#REF!</v>
      </c>
      <c r="E21" s="266" t="e">
        <f>D21*1.04</f>
        <v>#REF!</v>
      </c>
      <c r="F21" s="266" t="e">
        <f t="shared" si="0"/>
        <v>#REF!</v>
      </c>
    </row>
    <row r="22" spans="2:6" s="11" customFormat="1" ht="15">
      <c r="B22" s="217">
        <v>10604</v>
      </c>
      <c r="C22" s="217" t="s">
        <v>726</v>
      </c>
      <c r="D22" s="243">
        <f>D23+D24</f>
        <v>95050000</v>
      </c>
      <c r="E22" s="265">
        <f t="shared" si="0"/>
        <v>98852000</v>
      </c>
      <c r="F22" s="265">
        <f t="shared" si="0"/>
        <v>102806080</v>
      </c>
    </row>
    <row r="23" spans="2:6" s="93" customFormat="1" ht="15">
      <c r="B23" s="241"/>
      <c r="C23" s="258" t="s">
        <v>762</v>
      </c>
      <c r="D23" s="242">
        <f>WATER!E68</f>
        <v>95050000</v>
      </c>
      <c r="E23" s="266">
        <f t="shared" si="0"/>
        <v>98852000</v>
      </c>
      <c r="F23" s="266">
        <f>E23*1.04</f>
        <v>102806080</v>
      </c>
    </row>
    <row r="24" spans="2:6" s="98" customFormat="1" ht="15">
      <c r="B24" s="261"/>
      <c r="C24" s="258" t="s">
        <v>763</v>
      </c>
      <c r="D24" s="242">
        <f>WATER!E66</f>
        <v>0</v>
      </c>
      <c r="E24" s="266">
        <f t="shared" si="0"/>
        <v>0</v>
      </c>
      <c r="F24" s="266">
        <f>E24*1.04</f>
        <v>0</v>
      </c>
    </row>
    <row r="25" spans="2:6" ht="15">
      <c r="B25" s="941" t="s">
        <v>440</v>
      </c>
      <c r="C25" s="941"/>
      <c r="D25" s="243" t="e">
        <f>SUM(D22,D16,D13,D19)</f>
        <v>#REF!</v>
      </c>
      <c r="E25" s="243" t="e">
        <f>SUM(E22,E16,E13,E19)</f>
        <v>#REF!</v>
      </c>
      <c r="F25" s="243" t="e">
        <f>SUM(F22,F16,F13,F19)</f>
        <v>#REF!</v>
      </c>
    </row>
  </sheetData>
  <sheetProtection/>
  <mergeCells count="8">
    <mergeCell ref="B25:C25"/>
    <mergeCell ref="B2:B3"/>
    <mergeCell ref="C2:C3"/>
    <mergeCell ref="E2:F2"/>
    <mergeCell ref="B8:C8"/>
    <mergeCell ref="B11:B12"/>
    <mergeCell ref="C11:C12"/>
    <mergeCell ref="E11:F11"/>
  </mergeCells>
  <printOptions/>
  <pageMargins left="0.7" right="0.7" top="0.75" bottom="0.75" header="0.3" footer="0.3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B9" sqref="B9:F17"/>
    </sheetView>
  </sheetViews>
  <sheetFormatPr defaultColWidth="9.140625" defaultRowHeight="15"/>
  <cols>
    <col min="2" max="2" width="9.8515625" style="0" customWidth="1"/>
    <col min="3" max="3" width="26.8515625" style="0" customWidth="1"/>
    <col min="4" max="4" width="15.28125" style="0" customWidth="1"/>
    <col min="5" max="5" width="13.7109375" style="0" customWidth="1"/>
    <col min="6" max="6" width="14.8515625" style="0" customWidth="1"/>
  </cols>
  <sheetData>
    <row r="2" spans="2:6" ht="26.25">
      <c r="B2" s="941" t="s">
        <v>753</v>
      </c>
      <c r="C2" s="941" t="s">
        <v>754</v>
      </c>
      <c r="D2" s="286" t="s">
        <v>764</v>
      </c>
      <c r="E2" s="941" t="s">
        <v>755</v>
      </c>
      <c r="F2" s="941"/>
    </row>
    <row r="3" spans="2:6" ht="15">
      <c r="B3" s="941"/>
      <c r="C3" s="941"/>
      <c r="D3" s="286" t="s">
        <v>756</v>
      </c>
      <c r="E3" s="286" t="s">
        <v>757</v>
      </c>
      <c r="F3" s="262" t="s">
        <v>765</v>
      </c>
    </row>
    <row r="4" spans="2:6" ht="15">
      <c r="B4" s="217">
        <v>10901</v>
      </c>
      <c r="C4" s="217" t="s">
        <v>729</v>
      </c>
      <c r="D4" s="242">
        <f>D11</f>
        <v>2812908407</v>
      </c>
      <c r="E4" s="242">
        <f>D4*1.04</f>
        <v>2925424743.28</v>
      </c>
      <c r="F4" s="242">
        <f>E4*1.04</f>
        <v>3042441733.0112004</v>
      </c>
    </row>
    <row r="5" spans="2:6" ht="15">
      <c r="B5" s="217">
        <v>10902</v>
      </c>
      <c r="C5" s="217" t="s">
        <v>730</v>
      </c>
      <c r="D5" s="242">
        <f>D14</f>
        <v>14950000</v>
      </c>
      <c r="E5" s="242">
        <f>D5*1.04</f>
        <v>15548000</v>
      </c>
      <c r="F5" s="242">
        <f>E5*1.04</f>
        <v>16169920</v>
      </c>
    </row>
    <row r="6" spans="2:6" ht="15">
      <c r="B6" s="941" t="s">
        <v>758</v>
      </c>
      <c r="C6" s="941"/>
      <c r="D6" s="243">
        <f>SUM(D4:D5)</f>
        <v>2827858407</v>
      </c>
      <c r="E6" s="243">
        <f>SUM(E4:E5)</f>
        <v>2940972743.28</v>
      </c>
      <c r="F6" s="243">
        <f>SUM(F4:F5)</f>
        <v>3058611653.0112004</v>
      </c>
    </row>
    <row r="7" spans="2:6" ht="15">
      <c r="B7" s="250"/>
      <c r="C7" s="250"/>
      <c r="D7" s="250"/>
      <c r="E7" s="250"/>
      <c r="F7" s="250"/>
    </row>
    <row r="8" spans="2:6" ht="15">
      <c r="B8" s="250"/>
      <c r="C8" s="250"/>
      <c r="D8" s="250"/>
      <c r="E8" s="250"/>
      <c r="F8" s="250"/>
    </row>
    <row r="9" spans="2:6" ht="26.25">
      <c r="B9" s="941" t="s">
        <v>759</v>
      </c>
      <c r="C9" s="941" t="s">
        <v>760</v>
      </c>
      <c r="D9" s="288" t="s">
        <v>761</v>
      </c>
      <c r="E9" s="953" t="s">
        <v>755</v>
      </c>
      <c r="F9" s="953"/>
    </row>
    <row r="10" spans="2:6" ht="15">
      <c r="B10" s="941"/>
      <c r="C10" s="941"/>
      <c r="D10" s="286" t="s">
        <v>756</v>
      </c>
      <c r="E10" s="286" t="s">
        <v>757</v>
      </c>
      <c r="F10" s="262" t="s">
        <v>765</v>
      </c>
    </row>
    <row r="11" spans="2:6" ht="15">
      <c r="B11" s="217">
        <v>10901</v>
      </c>
      <c r="C11" s="217" t="s">
        <v>729</v>
      </c>
      <c r="D11" s="243">
        <f>D12+D13</f>
        <v>2812908407</v>
      </c>
      <c r="E11" s="243">
        <f aca="true" t="shared" si="0" ref="E11:F16">D11*1.04</f>
        <v>2925424743.28</v>
      </c>
      <c r="F11" s="243">
        <f t="shared" si="0"/>
        <v>3042441733.0112004</v>
      </c>
    </row>
    <row r="12" spans="2:6" ht="15">
      <c r="B12" s="241"/>
      <c r="C12" s="241" t="s">
        <v>762</v>
      </c>
      <c r="D12" s="245">
        <f>MEDICAL!E120</f>
        <v>2812908407</v>
      </c>
      <c r="E12" s="242">
        <f t="shared" si="0"/>
        <v>2925424743.28</v>
      </c>
      <c r="F12" s="242">
        <f t="shared" si="0"/>
        <v>3042441733.0112004</v>
      </c>
    </row>
    <row r="13" spans="2:6" ht="15">
      <c r="B13" s="241"/>
      <c r="C13" s="241" t="s">
        <v>763</v>
      </c>
      <c r="D13" s="242">
        <f>MEDICAL!E121</f>
        <v>0</v>
      </c>
      <c r="E13" s="242">
        <f t="shared" si="0"/>
        <v>0</v>
      </c>
      <c r="F13" s="242">
        <f t="shared" si="0"/>
        <v>0</v>
      </c>
    </row>
    <row r="14" spans="2:6" ht="15">
      <c r="B14" s="217">
        <v>10902</v>
      </c>
      <c r="C14" s="217" t="s">
        <v>730</v>
      </c>
      <c r="D14" s="243">
        <f>D15+D16</f>
        <v>14950000</v>
      </c>
      <c r="E14" s="243">
        <f t="shared" si="0"/>
        <v>15548000</v>
      </c>
      <c r="F14" s="243">
        <f t="shared" si="0"/>
        <v>16169920</v>
      </c>
    </row>
    <row r="15" spans="2:6" ht="15">
      <c r="B15" s="241"/>
      <c r="C15" s="241" t="s">
        <v>762</v>
      </c>
      <c r="D15" s="242">
        <f>'PUBLIC HEALTH'!E51</f>
        <v>14950000</v>
      </c>
      <c r="E15" s="242">
        <f t="shared" si="0"/>
        <v>15548000</v>
      </c>
      <c r="F15" s="242">
        <f t="shared" si="0"/>
        <v>16169920</v>
      </c>
    </row>
    <row r="16" spans="2:6" ht="15">
      <c r="B16" s="241"/>
      <c r="C16" s="241" t="s">
        <v>763</v>
      </c>
      <c r="D16" s="242">
        <v>0</v>
      </c>
      <c r="E16" s="243">
        <f t="shared" si="0"/>
        <v>0</v>
      </c>
      <c r="F16" s="243">
        <f t="shared" si="0"/>
        <v>0</v>
      </c>
    </row>
    <row r="17" spans="2:6" ht="15">
      <c r="B17" s="941" t="s">
        <v>440</v>
      </c>
      <c r="C17" s="941"/>
      <c r="D17" s="243">
        <f>SUM(D11,D14)</f>
        <v>2827858407</v>
      </c>
      <c r="E17" s="243">
        <f>SUM(E11,E14)</f>
        <v>2940972743.28</v>
      </c>
      <c r="F17" s="243">
        <f>SUM(F11,F14)</f>
        <v>3058611653.0112004</v>
      </c>
    </row>
  </sheetData>
  <sheetProtection/>
  <mergeCells count="8">
    <mergeCell ref="B17:C17"/>
    <mergeCell ref="B2:B3"/>
    <mergeCell ref="C2:C3"/>
    <mergeCell ref="E2:F2"/>
    <mergeCell ref="B6:C6"/>
    <mergeCell ref="B9:B10"/>
    <mergeCell ref="C9:C10"/>
    <mergeCell ref="E9:F9"/>
  </mergeCells>
  <printOptions/>
  <pageMargins left="0.7" right="0.7" top="0.75" bottom="0.75" header="0.3" footer="0.3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F21"/>
  <sheetViews>
    <sheetView zoomScalePageLayoutView="0" workbookViewId="0" topLeftCell="A4">
      <selection activeCell="B10" sqref="B10:F21"/>
    </sheetView>
  </sheetViews>
  <sheetFormatPr defaultColWidth="9.140625" defaultRowHeight="15"/>
  <cols>
    <col min="2" max="2" width="9.00390625" style="0" customWidth="1"/>
    <col min="3" max="3" width="38.28125" style="0" customWidth="1"/>
    <col min="4" max="4" width="13.8515625" style="0" customWidth="1"/>
    <col min="5" max="5" width="15.28125" style="0" customWidth="1"/>
    <col min="6" max="6" width="18.28125" style="0" customWidth="1"/>
  </cols>
  <sheetData>
    <row r="2" spans="2:6" ht="38.25">
      <c r="B2" s="940" t="s">
        <v>753</v>
      </c>
      <c r="C2" s="940" t="s">
        <v>754</v>
      </c>
      <c r="D2" s="284" t="s">
        <v>764</v>
      </c>
      <c r="E2" s="940" t="s">
        <v>755</v>
      </c>
      <c r="F2" s="940"/>
    </row>
    <row r="3" spans="2:6" ht="15">
      <c r="B3" s="940"/>
      <c r="C3" s="940"/>
      <c r="D3" s="284" t="s">
        <v>756</v>
      </c>
      <c r="E3" s="284" t="s">
        <v>757</v>
      </c>
      <c r="F3" s="226" t="s">
        <v>765</v>
      </c>
    </row>
    <row r="4" spans="2:6" s="98" customFormat="1" ht="25.5">
      <c r="B4" s="221">
        <v>10701</v>
      </c>
      <c r="C4" s="258" t="s">
        <v>680</v>
      </c>
      <c r="D4" s="228">
        <f>D12</f>
        <v>614572043</v>
      </c>
      <c r="E4" s="228">
        <f aca="true" t="shared" si="0" ref="E4:F6">D4*1.04</f>
        <v>639154924.72</v>
      </c>
      <c r="F4" s="228">
        <f t="shared" si="0"/>
        <v>664721121.7088001</v>
      </c>
    </row>
    <row r="5" spans="2:6" s="98" customFormat="1" ht="15">
      <c r="B5" s="260">
        <v>10702</v>
      </c>
      <c r="C5" s="319" t="s">
        <v>854</v>
      </c>
      <c r="D5" s="228" t="e">
        <f>D15</f>
        <v>#REF!</v>
      </c>
      <c r="E5" s="228" t="e">
        <f t="shared" si="0"/>
        <v>#REF!</v>
      </c>
      <c r="F5" s="228" t="e">
        <f t="shared" si="0"/>
        <v>#REF!</v>
      </c>
    </row>
    <row r="6" spans="2:6" s="98" customFormat="1" ht="15">
      <c r="B6" s="260">
        <v>10703</v>
      </c>
      <c r="C6" s="319" t="s">
        <v>857</v>
      </c>
      <c r="D6" s="228" t="e">
        <f>D18</f>
        <v>#REF!</v>
      </c>
      <c r="E6" s="228" t="e">
        <f t="shared" si="0"/>
        <v>#REF!</v>
      </c>
      <c r="F6" s="228" t="e">
        <f t="shared" si="0"/>
        <v>#REF!</v>
      </c>
    </row>
    <row r="7" spans="2:6" ht="15">
      <c r="B7" s="940" t="s">
        <v>758</v>
      </c>
      <c r="C7" s="940"/>
      <c r="D7" s="231" t="e">
        <f>SUM(D4:D6)</f>
        <v>#REF!</v>
      </c>
      <c r="E7" s="231" t="e">
        <f>SUM(E4:E6)</f>
        <v>#REF!</v>
      </c>
      <c r="F7" s="231" t="e">
        <f>SUM(F4:F6)</f>
        <v>#REF!</v>
      </c>
    </row>
    <row r="8" spans="2:6" ht="15">
      <c r="B8" s="320"/>
      <c r="C8" s="320"/>
      <c r="D8" s="320"/>
      <c r="E8" s="320"/>
      <c r="F8" s="320"/>
    </row>
    <row r="9" spans="2:6" ht="15">
      <c r="B9" s="320"/>
      <c r="C9" s="320"/>
      <c r="D9" s="320"/>
      <c r="E9" s="320"/>
      <c r="F9" s="320"/>
    </row>
    <row r="10" spans="2:6" ht="42.75" customHeight="1">
      <c r="B10" s="940" t="s">
        <v>759</v>
      </c>
      <c r="C10" s="940" t="s">
        <v>760</v>
      </c>
      <c r="D10" s="238" t="s">
        <v>766</v>
      </c>
      <c r="E10" s="942" t="s">
        <v>755</v>
      </c>
      <c r="F10" s="942"/>
    </row>
    <row r="11" spans="2:6" ht="15">
      <c r="B11" s="940"/>
      <c r="C11" s="940"/>
      <c r="D11" s="284" t="s">
        <v>756</v>
      </c>
      <c r="E11" s="284" t="s">
        <v>757</v>
      </c>
      <c r="F11" s="226" t="s">
        <v>765</v>
      </c>
    </row>
    <row r="12" spans="2:6" s="11" customFormat="1" ht="25.5">
      <c r="B12" s="217">
        <v>10701</v>
      </c>
      <c r="C12" s="238" t="s">
        <v>680</v>
      </c>
      <c r="D12" s="231">
        <f>D13+D14</f>
        <v>614572043</v>
      </c>
      <c r="E12" s="231">
        <f>D12*1.04</f>
        <v>639154924.72</v>
      </c>
      <c r="F12" s="231">
        <f>E12*1.04</f>
        <v>664721121.7088001</v>
      </c>
    </row>
    <row r="13" spans="2:6" s="98" customFormat="1" ht="15">
      <c r="B13" s="221"/>
      <c r="C13" s="258" t="s">
        <v>762</v>
      </c>
      <c r="D13" s="229">
        <f>EDUCATION!E91</f>
        <v>614572043</v>
      </c>
      <c r="E13" s="229">
        <f aca="true" t="shared" si="1" ref="E13:F20">D13*1.04</f>
        <v>639154924.72</v>
      </c>
      <c r="F13" s="229">
        <f t="shared" si="1"/>
        <v>664721121.7088001</v>
      </c>
    </row>
    <row r="14" spans="2:6" s="98" customFormat="1" ht="15">
      <c r="B14" s="221"/>
      <c r="C14" s="258" t="s">
        <v>763</v>
      </c>
      <c r="D14" s="231"/>
      <c r="E14" s="229">
        <f t="shared" si="1"/>
        <v>0</v>
      </c>
      <c r="F14" s="229">
        <f t="shared" si="1"/>
        <v>0</v>
      </c>
    </row>
    <row r="15" spans="2:6" s="11" customFormat="1" ht="15">
      <c r="B15" s="248">
        <v>10702</v>
      </c>
      <c r="C15" s="321" t="s">
        <v>854</v>
      </c>
      <c r="D15" s="231" t="e">
        <f>D16+D17</f>
        <v>#REF!</v>
      </c>
      <c r="E15" s="231" t="e">
        <f t="shared" si="1"/>
        <v>#REF!</v>
      </c>
      <c r="F15" s="231" t="e">
        <f t="shared" si="1"/>
        <v>#REF!</v>
      </c>
    </row>
    <row r="16" spans="2:6" s="98" customFormat="1" ht="15">
      <c r="B16" s="260"/>
      <c r="C16" s="258" t="s">
        <v>762</v>
      </c>
      <c r="D16" s="236">
        <v>0</v>
      </c>
      <c r="E16" s="229">
        <f t="shared" si="1"/>
        <v>0</v>
      </c>
      <c r="F16" s="229">
        <f t="shared" si="1"/>
        <v>0</v>
      </c>
    </row>
    <row r="17" spans="2:6" s="98" customFormat="1" ht="15">
      <c r="B17" s="260"/>
      <c r="C17" s="258" t="s">
        <v>763</v>
      </c>
      <c r="D17" s="236" t="e">
        <f>EDUCATION!E97</f>
        <v>#REF!</v>
      </c>
      <c r="E17" s="229" t="e">
        <f t="shared" si="1"/>
        <v>#REF!</v>
      </c>
      <c r="F17" s="229" t="e">
        <f t="shared" si="1"/>
        <v>#REF!</v>
      </c>
    </row>
    <row r="18" spans="2:6" s="11" customFormat="1" ht="15">
      <c r="B18" s="248">
        <v>10703</v>
      </c>
      <c r="C18" s="321" t="s">
        <v>857</v>
      </c>
      <c r="D18" s="231" t="e">
        <f>D19+D20</f>
        <v>#REF!</v>
      </c>
      <c r="E18" s="231" t="e">
        <f t="shared" si="1"/>
        <v>#REF!</v>
      </c>
      <c r="F18" s="231" t="e">
        <f t="shared" si="1"/>
        <v>#REF!</v>
      </c>
    </row>
    <row r="19" spans="2:6" ht="15">
      <c r="B19" s="284"/>
      <c r="C19" s="258" t="s">
        <v>762</v>
      </c>
      <c r="D19" s="229">
        <v>0</v>
      </c>
      <c r="E19" s="229">
        <f t="shared" si="1"/>
        <v>0</v>
      </c>
      <c r="F19" s="229">
        <f t="shared" si="1"/>
        <v>0</v>
      </c>
    </row>
    <row r="20" spans="2:6" ht="15">
      <c r="B20" s="227"/>
      <c r="C20" s="258" t="s">
        <v>763</v>
      </c>
      <c r="D20" s="229" t="e">
        <f>EDUCATION!E102</f>
        <v>#REF!</v>
      </c>
      <c r="E20" s="229" t="e">
        <f t="shared" si="1"/>
        <v>#REF!</v>
      </c>
      <c r="F20" s="229" t="e">
        <f t="shared" si="1"/>
        <v>#REF!</v>
      </c>
    </row>
    <row r="21" spans="2:6" ht="15">
      <c r="B21" s="940" t="s">
        <v>440</v>
      </c>
      <c r="C21" s="940"/>
      <c r="D21" s="231" t="e">
        <f>SUM(D18,D15,D12)</f>
        <v>#REF!</v>
      </c>
      <c r="E21" s="231" t="e">
        <f>SUM(E18,E15,E12)</f>
        <v>#REF!</v>
      </c>
      <c r="F21" s="231" t="e">
        <f>SUM(F18,F15,F12)</f>
        <v>#REF!</v>
      </c>
    </row>
  </sheetData>
  <sheetProtection/>
  <mergeCells count="8">
    <mergeCell ref="B21:C21"/>
    <mergeCell ref="B2:B3"/>
    <mergeCell ref="C2:C3"/>
    <mergeCell ref="E2:F2"/>
    <mergeCell ref="B7:C7"/>
    <mergeCell ref="B10:B11"/>
    <mergeCell ref="C10:C11"/>
    <mergeCell ref="E10:F10"/>
  </mergeCells>
  <printOptions/>
  <pageMargins left="0.7" right="0.7" top="0.75" bottom="0.75" header="0.3" footer="0.3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6">
      <selection activeCell="B11" sqref="B11:F25"/>
    </sheetView>
  </sheetViews>
  <sheetFormatPr defaultColWidth="9.140625" defaultRowHeight="15"/>
  <cols>
    <col min="3" max="3" width="34.421875" style="0" customWidth="1"/>
    <col min="4" max="4" width="15.57421875" style="0" customWidth="1"/>
    <col min="5" max="5" width="14.8515625" style="0" customWidth="1"/>
    <col min="6" max="6" width="14.140625" style="0" customWidth="1"/>
  </cols>
  <sheetData>
    <row r="2" spans="2:6" ht="25.5">
      <c r="B2" s="940" t="s">
        <v>753</v>
      </c>
      <c r="C2" s="940" t="s">
        <v>754</v>
      </c>
      <c r="D2" s="225" t="s">
        <v>764</v>
      </c>
      <c r="E2" s="940" t="s">
        <v>755</v>
      </c>
      <c r="F2" s="940"/>
    </row>
    <row r="3" spans="2:6" ht="15">
      <c r="B3" s="940"/>
      <c r="C3" s="940"/>
      <c r="D3" s="225" t="s">
        <v>756</v>
      </c>
      <c r="E3" s="225" t="s">
        <v>757</v>
      </c>
      <c r="F3" s="226" t="s">
        <v>765</v>
      </c>
    </row>
    <row r="4" spans="2:6" ht="25.5">
      <c r="B4" s="221">
        <v>11001</v>
      </c>
      <c r="C4" s="258" t="s">
        <v>680</v>
      </c>
      <c r="D4" s="229">
        <f>D13</f>
        <v>108895000</v>
      </c>
      <c r="E4" s="229">
        <f>D4*1.04</f>
        <v>113250800</v>
      </c>
      <c r="F4" s="229">
        <f>E4*1.04</f>
        <v>117780832</v>
      </c>
    </row>
    <row r="5" spans="2:6" ht="15">
      <c r="B5" s="230">
        <v>11002</v>
      </c>
      <c r="C5" s="259" t="s">
        <v>731</v>
      </c>
      <c r="D5" s="229">
        <f>D16</f>
        <v>6000000</v>
      </c>
      <c r="E5" s="229">
        <f aca="true" t="shared" si="0" ref="E5:F7">D5*1.04</f>
        <v>6240000</v>
      </c>
      <c r="F5" s="229">
        <f t="shared" si="0"/>
        <v>6489600</v>
      </c>
    </row>
    <row r="6" spans="2:6" ht="15">
      <c r="B6" s="221">
        <v>11003</v>
      </c>
      <c r="C6" s="221" t="s">
        <v>733</v>
      </c>
      <c r="D6" s="229">
        <f>D19</f>
        <v>54870000</v>
      </c>
      <c r="E6" s="229">
        <f t="shared" si="0"/>
        <v>57064800</v>
      </c>
      <c r="F6" s="229">
        <f t="shared" si="0"/>
        <v>59347392</v>
      </c>
    </row>
    <row r="7" spans="2:6" s="98" customFormat="1" ht="15">
      <c r="B7" s="230">
        <v>11004</v>
      </c>
      <c r="C7" s="259" t="s">
        <v>732</v>
      </c>
      <c r="D7" s="229">
        <f>D22</f>
        <v>5800000</v>
      </c>
      <c r="E7" s="229">
        <f t="shared" si="0"/>
        <v>6032000</v>
      </c>
      <c r="F7" s="229">
        <f t="shared" si="0"/>
        <v>6273280</v>
      </c>
    </row>
    <row r="8" spans="2:6" ht="15">
      <c r="B8" s="940" t="s">
        <v>758</v>
      </c>
      <c r="C8" s="940"/>
      <c r="D8" s="231">
        <f>SUM(D4:D7)</f>
        <v>175565000</v>
      </c>
      <c r="E8" s="231">
        <f>SUM(E4:E7)</f>
        <v>182587600</v>
      </c>
      <c r="F8" s="231">
        <f>SUM(F4:F7)</f>
        <v>189891104</v>
      </c>
    </row>
    <row r="9" spans="2:6" ht="15">
      <c r="B9" s="250"/>
      <c r="C9" s="250"/>
      <c r="D9" s="250"/>
      <c r="E9" s="250"/>
      <c r="F9" s="250"/>
    </row>
    <row r="10" spans="2:6" ht="15">
      <c r="B10" s="250"/>
      <c r="C10" s="250"/>
      <c r="D10" s="250"/>
      <c r="E10" s="250"/>
      <c r="F10" s="250"/>
    </row>
    <row r="11" spans="2:6" ht="25.5">
      <c r="B11" s="940" t="s">
        <v>759</v>
      </c>
      <c r="C11" s="940" t="s">
        <v>760</v>
      </c>
      <c r="D11" s="235" t="s">
        <v>761</v>
      </c>
      <c r="E11" s="942" t="s">
        <v>755</v>
      </c>
      <c r="F11" s="942"/>
    </row>
    <row r="12" spans="2:6" ht="15">
      <c r="B12" s="940"/>
      <c r="C12" s="940"/>
      <c r="D12" s="581" t="s">
        <v>756</v>
      </c>
      <c r="E12" s="225" t="s">
        <v>757</v>
      </c>
      <c r="F12" s="226" t="s">
        <v>765</v>
      </c>
    </row>
    <row r="13" spans="2:6" s="11" customFormat="1" ht="25.5">
      <c r="B13" s="217">
        <v>11001</v>
      </c>
      <c r="C13" s="238" t="s">
        <v>680</v>
      </c>
      <c r="D13" s="243">
        <f>D14+D15</f>
        <v>108895000</v>
      </c>
      <c r="E13" s="243">
        <f>D13*1.04</f>
        <v>113250800</v>
      </c>
      <c r="F13" s="243">
        <f>E13*1.04</f>
        <v>117780832</v>
      </c>
    </row>
    <row r="14" spans="2:6" s="93" customFormat="1" ht="15">
      <c r="B14" s="221"/>
      <c r="C14" s="241" t="s">
        <v>762</v>
      </c>
      <c r="D14" s="242">
        <f>ROADS!E76</f>
        <v>108895000</v>
      </c>
      <c r="E14" s="242">
        <f aca="true" t="shared" si="1" ref="E14:F24">D14*1.04</f>
        <v>113250800</v>
      </c>
      <c r="F14" s="242">
        <f t="shared" si="1"/>
        <v>117780832</v>
      </c>
    </row>
    <row r="15" spans="2:6" s="98" customFormat="1" ht="15">
      <c r="B15" s="221"/>
      <c r="C15" s="241" t="s">
        <v>763</v>
      </c>
      <c r="D15" s="243"/>
      <c r="E15" s="243">
        <f t="shared" si="1"/>
        <v>0</v>
      </c>
      <c r="F15" s="243">
        <f t="shared" si="1"/>
        <v>0</v>
      </c>
    </row>
    <row r="16" spans="2:6" s="11" customFormat="1" ht="15">
      <c r="B16" s="234">
        <v>11002</v>
      </c>
      <c r="C16" s="249" t="s">
        <v>731</v>
      </c>
      <c r="D16" s="244">
        <f>D17+D18</f>
        <v>6000000</v>
      </c>
      <c r="E16" s="243">
        <f t="shared" si="1"/>
        <v>6240000</v>
      </c>
      <c r="F16" s="243">
        <f t="shared" si="1"/>
        <v>6489600</v>
      </c>
    </row>
    <row r="17" spans="2:6" s="93" customFormat="1" ht="15">
      <c r="B17" s="230"/>
      <c r="C17" s="241" t="s">
        <v>762</v>
      </c>
      <c r="D17" s="245">
        <f>ROADS!E80</f>
        <v>6000000</v>
      </c>
      <c r="E17" s="242">
        <f t="shared" si="1"/>
        <v>6240000</v>
      </c>
      <c r="F17" s="242">
        <f t="shared" si="1"/>
        <v>6489600</v>
      </c>
    </row>
    <row r="18" spans="2:6" s="98" customFormat="1" ht="15">
      <c r="B18" s="230"/>
      <c r="C18" s="241" t="s">
        <v>763</v>
      </c>
      <c r="D18" s="245">
        <f>ROADS!E87</f>
        <v>0</v>
      </c>
      <c r="E18" s="242">
        <f t="shared" si="1"/>
        <v>0</v>
      </c>
      <c r="F18" s="242">
        <f t="shared" si="1"/>
        <v>0</v>
      </c>
    </row>
    <row r="19" spans="2:6" s="11" customFormat="1" ht="15">
      <c r="B19" s="217">
        <v>11003</v>
      </c>
      <c r="C19" s="217" t="s">
        <v>733</v>
      </c>
      <c r="D19" s="243">
        <f>D20+D21</f>
        <v>54870000</v>
      </c>
      <c r="E19" s="243">
        <f t="shared" si="1"/>
        <v>57064800</v>
      </c>
      <c r="F19" s="243">
        <f t="shared" si="1"/>
        <v>59347392</v>
      </c>
    </row>
    <row r="20" spans="2:6" s="93" customFormat="1" ht="15">
      <c r="B20" s="221"/>
      <c r="C20" s="241" t="s">
        <v>762</v>
      </c>
      <c r="D20" s="242">
        <f>'PUBLIC WORKS'!E60</f>
        <v>54870000</v>
      </c>
      <c r="E20" s="242">
        <f t="shared" si="1"/>
        <v>57064800</v>
      </c>
      <c r="F20" s="242">
        <f t="shared" si="1"/>
        <v>59347392</v>
      </c>
    </row>
    <row r="21" spans="2:6" s="98" customFormat="1" ht="15">
      <c r="B21" s="221"/>
      <c r="C21" s="241" t="s">
        <v>763</v>
      </c>
      <c r="D21" s="242">
        <f>'PUBLIC WORKS'!E69</f>
        <v>0</v>
      </c>
      <c r="E21" s="242">
        <f t="shared" si="1"/>
        <v>0</v>
      </c>
      <c r="F21" s="242">
        <f t="shared" si="1"/>
        <v>0</v>
      </c>
    </row>
    <row r="22" spans="2:6" s="11" customFormat="1" ht="15">
      <c r="B22" s="234">
        <v>11004</v>
      </c>
      <c r="C22" s="249" t="s">
        <v>732</v>
      </c>
      <c r="D22" s="243">
        <f>D23+D24</f>
        <v>5800000</v>
      </c>
      <c r="E22" s="243">
        <f t="shared" si="1"/>
        <v>6032000</v>
      </c>
      <c r="F22" s="243">
        <f t="shared" si="1"/>
        <v>6273280</v>
      </c>
    </row>
    <row r="23" spans="2:6" s="93" customFormat="1" ht="15">
      <c r="B23" s="241"/>
      <c r="C23" s="241" t="s">
        <v>762</v>
      </c>
      <c r="D23" s="242">
        <f>'PUBLIC WORKS'!E78</f>
        <v>5800000</v>
      </c>
      <c r="E23" s="242">
        <f t="shared" si="1"/>
        <v>6032000</v>
      </c>
      <c r="F23" s="242">
        <f t="shared" si="1"/>
        <v>6273280</v>
      </c>
    </row>
    <row r="24" spans="2:6" ht="15">
      <c r="B24" s="241"/>
      <c r="C24" s="241" t="s">
        <v>763</v>
      </c>
      <c r="D24" s="242">
        <v>0</v>
      </c>
      <c r="E24" s="242">
        <f t="shared" si="1"/>
        <v>0</v>
      </c>
      <c r="F24" s="242">
        <f t="shared" si="1"/>
        <v>0</v>
      </c>
    </row>
    <row r="25" spans="2:6" ht="15">
      <c r="B25" s="941" t="s">
        <v>440</v>
      </c>
      <c r="C25" s="941"/>
      <c r="D25" s="243">
        <f>SUM(D13,D16,D19,D22)</f>
        <v>175565000</v>
      </c>
      <c r="E25" s="243">
        <f>SUM(E13,E16,E19,E22)</f>
        <v>182587600</v>
      </c>
      <c r="F25" s="243">
        <f>SUM(F13,F16,F19,F22)</f>
        <v>189891104</v>
      </c>
    </row>
    <row r="26" ht="15">
      <c r="D26" s="9"/>
    </row>
  </sheetData>
  <sheetProtection/>
  <mergeCells count="8">
    <mergeCell ref="B25:C25"/>
    <mergeCell ref="B2:B3"/>
    <mergeCell ref="C2:C3"/>
    <mergeCell ref="E2:F2"/>
    <mergeCell ref="B8:C8"/>
    <mergeCell ref="B11:B12"/>
    <mergeCell ref="C11:C12"/>
    <mergeCell ref="E11:F11"/>
  </mergeCells>
  <printOptions/>
  <pageMargins left="0.7" right="0.7" top="0.75" bottom="0.75" header="0.3" footer="0.3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3">
      <selection activeCell="D1" sqref="D1"/>
    </sheetView>
  </sheetViews>
  <sheetFormatPr defaultColWidth="9.140625" defaultRowHeight="15"/>
  <cols>
    <col min="2" max="2" width="13.57421875" style="0" customWidth="1"/>
    <col min="3" max="3" width="31.7109375" style="0" customWidth="1"/>
    <col min="4" max="4" width="16.421875" style="0" customWidth="1"/>
    <col min="5" max="6" width="14.8515625" style="0" customWidth="1"/>
  </cols>
  <sheetData>
    <row r="2" spans="2:6" ht="25.5">
      <c r="B2" s="940" t="s">
        <v>753</v>
      </c>
      <c r="C2" s="940" t="s">
        <v>754</v>
      </c>
      <c r="D2" s="225" t="s">
        <v>764</v>
      </c>
      <c r="E2" s="940" t="s">
        <v>755</v>
      </c>
      <c r="F2" s="940"/>
    </row>
    <row r="3" spans="2:6" ht="15">
      <c r="B3" s="940"/>
      <c r="C3" s="940"/>
      <c r="D3" s="225" t="s">
        <v>756</v>
      </c>
      <c r="E3" s="225" t="s">
        <v>757</v>
      </c>
      <c r="F3" s="226" t="s">
        <v>765</v>
      </c>
    </row>
    <row r="4" spans="2:6" ht="25.5">
      <c r="B4" s="217">
        <v>11201</v>
      </c>
      <c r="C4" s="238" t="s">
        <v>680</v>
      </c>
      <c r="D4" s="229">
        <f>D14</f>
        <v>80953323</v>
      </c>
      <c r="E4" s="229">
        <f aca="true" t="shared" si="0" ref="E4:F8">D4*1.04</f>
        <v>84191455.92</v>
      </c>
      <c r="F4" s="229">
        <f t="shared" si="0"/>
        <v>87559114.1568</v>
      </c>
    </row>
    <row r="5" spans="2:6" ht="15">
      <c r="B5" s="271" t="s">
        <v>738</v>
      </c>
      <c r="C5" s="271" t="s">
        <v>734</v>
      </c>
      <c r="D5" s="229">
        <f>D17</f>
        <v>14271000</v>
      </c>
      <c r="E5" s="229">
        <f t="shared" si="0"/>
        <v>14841840</v>
      </c>
      <c r="F5" s="229">
        <f t="shared" si="0"/>
        <v>15435513.6</v>
      </c>
    </row>
    <row r="6" spans="2:6" ht="15">
      <c r="B6" s="272" t="s">
        <v>739</v>
      </c>
      <c r="C6" s="247" t="s">
        <v>735</v>
      </c>
      <c r="D6" s="229">
        <f>D20</f>
        <v>2550000</v>
      </c>
      <c r="E6" s="229">
        <f t="shared" si="0"/>
        <v>2652000</v>
      </c>
      <c r="F6" s="229">
        <f t="shared" si="0"/>
        <v>2758080</v>
      </c>
    </row>
    <row r="7" spans="2:6" s="98" customFormat="1" ht="15">
      <c r="B7" s="273" t="s">
        <v>740</v>
      </c>
      <c r="C7" s="273" t="s">
        <v>736</v>
      </c>
      <c r="D7" s="229">
        <f>D23</f>
        <v>1950000</v>
      </c>
      <c r="E7" s="229">
        <f t="shared" si="0"/>
        <v>2028000</v>
      </c>
      <c r="F7" s="229">
        <f t="shared" si="0"/>
        <v>2109120</v>
      </c>
    </row>
    <row r="8" spans="2:6" s="98" customFormat="1" ht="15">
      <c r="B8" s="273" t="s">
        <v>741</v>
      </c>
      <c r="C8" s="273" t="s">
        <v>737</v>
      </c>
      <c r="D8" s="229">
        <f>D26</f>
        <v>8050000</v>
      </c>
      <c r="E8" s="229">
        <f t="shared" si="0"/>
        <v>8372000</v>
      </c>
      <c r="F8" s="229">
        <f t="shared" si="0"/>
        <v>8706880</v>
      </c>
    </row>
    <row r="9" spans="2:6" ht="15">
      <c r="B9" s="940" t="s">
        <v>758</v>
      </c>
      <c r="C9" s="940"/>
      <c r="D9" s="231">
        <f>SUM(D4:D8)</f>
        <v>107774323</v>
      </c>
      <c r="E9" s="231">
        <f>SUM(E4:E8)</f>
        <v>112085295.92</v>
      </c>
      <c r="F9" s="231">
        <f>SUM(F4:F8)</f>
        <v>116568707.7568</v>
      </c>
    </row>
    <row r="10" spans="2:6" ht="15">
      <c r="B10" s="250"/>
      <c r="C10" s="250"/>
      <c r="D10" s="250"/>
      <c r="E10" s="250"/>
      <c r="F10" s="250"/>
    </row>
    <row r="11" spans="2:6" ht="15">
      <c r="B11" s="250"/>
      <c r="C11" s="250"/>
      <c r="D11" s="250"/>
      <c r="E11" s="250"/>
      <c r="F11" s="250"/>
    </row>
    <row r="12" spans="2:6" ht="25.5">
      <c r="B12" s="940" t="s">
        <v>759</v>
      </c>
      <c r="C12" s="940" t="s">
        <v>760</v>
      </c>
      <c r="D12" s="235" t="s">
        <v>761</v>
      </c>
      <c r="E12" s="942" t="s">
        <v>755</v>
      </c>
      <c r="F12" s="942"/>
    </row>
    <row r="13" spans="2:6" ht="15">
      <c r="B13" s="940"/>
      <c r="C13" s="940"/>
      <c r="D13" s="225" t="s">
        <v>756</v>
      </c>
      <c r="E13" s="225" t="s">
        <v>757</v>
      </c>
      <c r="F13" s="226" t="s">
        <v>765</v>
      </c>
    </row>
    <row r="14" spans="2:6" s="11" customFormat="1" ht="25.5">
      <c r="B14" s="217">
        <v>11201</v>
      </c>
      <c r="C14" s="238" t="s">
        <v>680</v>
      </c>
      <c r="D14" s="231">
        <f>D15+D16</f>
        <v>80953323</v>
      </c>
      <c r="E14" s="231">
        <f>1.04*D14</f>
        <v>84191455.92</v>
      </c>
      <c r="F14" s="231">
        <f>1.04*E14</f>
        <v>87559114.1568</v>
      </c>
    </row>
    <row r="15" spans="2:6" s="98" customFormat="1" ht="15">
      <c r="B15" s="217"/>
      <c r="C15" s="241" t="s">
        <v>762</v>
      </c>
      <c r="D15" s="229">
        <f>TRADE!E80</f>
        <v>80953323</v>
      </c>
      <c r="E15" s="229">
        <f aca="true" t="shared" si="1" ref="E15:F28">1.04*D15</f>
        <v>84191455.92</v>
      </c>
      <c r="F15" s="229">
        <f t="shared" si="1"/>
        <v>87559114.1568</v>
      </c>
    </row>
    <row r="16" spans="2:6" s="98" customFormat="1" ht="15">
      <c r="B16" s="217"/>
      <c r="C16" s="241" t="s">
        <v>763</v>
      </c>
      <c r="D16" s="229">
        <f>TRADE!E84</f>
        <v>0</v>
      </c>
      <c r="E16" s="229">
        <f t="shared" si="1"/>
        <v>0</v>
      </c>
      <c r="F16" s="229">
        <f t="shared" si="1"/>
        <v>0</v>
      </c>
    </row>
    <row r="17" spans="2:6" s="11" customFormat="1" ht="15">
      <c r="B17" s="271" t="s">
        <v>738</v>
      </c>
      <c r="C17" s="271" t="s">
        <v>734</v>
      </c>
      <c r="D17" s="231">
        <f>D18+D19</f>
        <v>14271000</v>
      </c>
      <c r="E17" s="231">
        <f t="shared" si="1"/>
        <v>14841840</v>
      </c>
      <c r="F17" s="231">
        <f t="shared" si="1"/>
        <v>15435513.6</v>
      </c>
    </row>
    <row r="18" spans="2:6" s="98" customFormat="1" ht="15">
      <c r="B18" s="271"/>
      <c r="C18" s="241" t="s">
        <v>762</v>
      </c>
      <c r="D18" s="236">
        <f>TRADE!E112</f>
        <v>14271000</v>
      </c>
      <c r="E18" s="229">
        <f t="shared" si="1"/>
        <v>14841840</v>
      </c>
      <c r="F18" s="229">
        <f t="shared" si="1"/>
        <v>15435513.6</v>
      </c>
    </row>
    <row r="19" spans="2:6" s="98" customFormat="1" ht="15">
      <c r="B19" s="271"/>
      <c r="C19" s="241" t="s">
        <v>763</v>
      </c>
      <c r="D19" s="236">
        <v>0</v>
      </c>
      <c r="E19" s="229">
        <f t="shared" si="1"/>
        <v>0</v>
      </c>
      <c r="F19" s="229">
        <f t="shared" si="1"/>
        <v>0</v>
      </c>
    </row>
    <row r="20" spans="2:6" s="11" customFormat="1" ht="15">
      <c r="B20" s="272" t="s">
        <v>739</v>
      </c>
      <c r="C20" s="247" t="s">
        <v>735</v>
      </c>
      <c r="D20" s="231">
        <f>D21+D22</f>
        <v>2550000</v>
      </c>
      <c r="E20" s="231">
        <f t="shared" si="1"/>
        <v>2652000</v>
      </c>
      <c r="F20" s="231">
        <f t="shared" si="1"/>
        <v>2758080</v>
      </c>
    </row>
    <row r="21" spans="2:6" s="98" customFormat="1" ht="15">
      <c r="B21" s="272"/>
      <c r="C21" s="241" t="s">
        <v>762</v>
      </c>
      <c r="D21" s="229">
        <f>TRADE!E123</f>
        <v>2550000</v>
      </c>
      <c r="E21" s="229">
        <f t="shared" si="1"/>
        <v>2652000</v>
      </c>
      <c r="F21" s="229">
        <f t="shared" si="1"/>
        <v>2758080</v>
      </c>
    </row>
    <row r="22" spans="2:6" s="98" customFormat="1" ht="15">
      <c r="B22" s="272"/>
      <c r="C22" s="241" t="s">
        <v>763</v>
      </c>
      <c r="D22" s="229">
        <v>0</v>
      </c>
      <c r="E22" s="229">
        <f t="shared" si="1"/>
        <v>0</v>
      </c>
      <c r="F22" s="229">
        <f t="shared" si="1"/>
        <v>0</v>
      </c>
    </row>
    <row r="23" spans="2:6" s="11" customFormat="1" ht="15">
      <c r="B23" s="273" t="s">
        <v>740</v>
      </c>
      <c r="C23" s="273" t="s">
        <v>736</v>
      </c>
      <c r="D23" s="231">
        <f>D24+D25</f>
        <v>1950000</v>
      </c>
      <c r="E23" s="231">
        <f t="shared" si="1"/>
        <v>2028000</v>
      </c>
      <c r="F23" s="231">
        <f t="shared" si="1"/>
        <v>2109120</v>
      </c>
    </row>
    <row r="24" spans="2:6" s="98" customFormat="1" ht="15">
      <c r="B24" s="273"/>
      <c r="C24" s="241" t="s">
        <v>762</v>
      </c>
      <c r="D24" s="229">
        <f>TRADE!E135</f>
        <v>1950000</v>
      </c>
      <c r="E24" s="229">
        <f t="shared" si="1"/>
        <v>2028000</v>
      </c>
      <c r="F24" s="229">
        <f t="shared" si="1"/>
        <v>2109120</v>
      </c>
    </row>
    <row r="25" spans="2:6" s="98" customFormat="1" ht="15">
      <c r="B25" s="273"/>
      <c r="C25" s="241" t="s">
        <v>763</v>
      </c>
      <c r="D25" s="231">
        <v>0</v>
      </c>
      <c r="E25" s="229">
        <f t="shared" si="1"/>
        <v>0</v>
      </c>
      <c r="F25" s="229">
        <f t="shared" si="1"/>
        <v>0</v>
      </c>
    </row>
    <row r="26" spans="2:6" s="11" customFormat="1" ht="15">
      <c r="B26" s="273" t="s">
        <v>741</v>
      </c>
      <c r="C26" s="273" t="s">
        <v>737</v>
      </c>
      <c r="D26" s="231">
        <f>D27+D28</f>
        <v>8050000</v>
      </c>
      <c r="E26" s="231">
        <f t="shared" si="1"/>
        <v>8372000</v>
      </c>
      <c r="F26" s="231">
        <f t="shared" si="1"/>
        <v>8706880</v>
      </c>
    </row>
    <row r="27" spans="2:6" ht="15">
      <c r="B27" s="227"/>
      <c r="C27" s="241" t="s">
        <v>762</v>
      </c>
      <c r="D27" s="229">
        <f>TRADE!E155</f>
        <v>8050000</v>
      </c>
      <c r="E27" s="229">
        <f t="shared" si="1"/>
        <v>8372000</v>
      </c>
      <c r="F27" s="229">
        <f t="shared" si="1"/>
        <v>8706880</v>
      </c>
    </row>
    <row r="28" spans="2:6" ht="15">
      <c r="B28" s="225"/>
      <c r="C28" s="241" t="s">
        <v>763</v>
      </c>
      <c r="D28" s="231">
        <v>0</v>
      </c>
      <c r="E28" s="231">
        <f t="shared" si="1"/>
        <v>0</v>
      </c>
      <c r="F28" s="231">
        <f t="shared" si="1"/>
        <v>0</v>
      </c>
    </row>
    <row r="29" spans="2:6" ht="15">
      <c r="B29" s="940" t="s">
        <v>440</v>
      </c>
      <c r="C29" s="940"/>
      <c r="D29" s="231">
        <f>SUM(D26,D23,D20,D17,D14)</f>
        <v>107774323</v>
      </c>
      <c r="E29" s="231">
        <f>SUM(E26,E23,E20,E17,E14)</f>
        <v>112085295.92</v>
      </c>
      <c r="F29" s="231">
        <f>SUM(F26,F23,F20,F17,F14)</f>
        <v>116568707.7568</v>
      </c>
    </row>
  </sheetData>
  <sheetProtection/>
  <mergeCells count="8">
    <mergeCell ref="B29:C29"/>
    <mergeCell ref="B2:B3"/>
    <mergeCell ref="C2:C3"/>
    <mergeCell ref="E2:F2"/>
    <mergeCell ref="B9:C9"/>
    <mergeCell ref="B12:B13"/>
    <mergeCell ref="C12:C13"/>
    <mergeCell ref="E12:F1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zoomScale="60" zoomScaleNormal="60" zoomScalePageLayoutView="0" workbookViewId="0" topLeftCell="A1">
      <selection activeCell="H44" sqref="H44"/>
    </sheetView>
  </sheetViews>
  <sheetFormatPr defaultColWidth="9.140625" defaultRowHeight="15"/>
  <cols>
    <col min="2" max="2" width="11.7109375" style="0" customWidth="1"/>
    <col min="3" max="3" width="16.7109375" style="0" customWidth="1"/>
    <col min="4" max="4" width="48.140625" style="0" customWidth="1"/>
    <col min="5" max="5" width="19.28125" style="0" customWidth="1"/>
    <col min="6" max="6" width="15.8515625" style="0" customWidth="1"/>
    <col min="7" max="7" width="22.7109375" style="0" customWidth="1"/>
    <col min="8" max="8" width="33.8515625" style="0" customWidth="1"/>
    <col min="9" max="9" width="21.57421875" style="0" customWidth="1"/>
    <col min="10" max="10" width="23.7109375" style="0" customWidth="1"/>
    <col min="11" max="11" width="23.8515625" style="0" customWidth="1"/>
    <col min="12" max="12" width="21.8515625" style="0" customWidth="1"/>
    <col min="13" max="13" width="27.00390625" style="0" customWidth="1"/>
    <col min="14" max="14" width="25.8515625" style="0" customWidth="1"/>
    <col min="15" max="15" width="18.57421875" style="0" customWidth="1"/>
    <col min="16" max="16" width="23.00390625" style="0" customWidth="1"/>
    <col min="17" max="17" width="20.421875" style="0" customWidth="1"/>
    <col min="18" max="18" width="24.8515625" style="0" customWidth="1"/>
    <col min="19" max="19" width="21.28125" style="0" customWidth="1"/>
    <col min="20" max="20" width="23.421875" style="0" customWidth="1"/>
  </cols>
  <sheetData>
    <row r="1" spans="1:20" ht="15.75">
      <c r="A1" s="871" t="s">
        <v>284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  <c r="T1" s="873"/>
    </row>
    <row r="2" spans="1:20" ht="15.75">
      <c r="A2" s="871" t="s">
        <v>285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3"/>
    </row>
    <row r="3" spans="1:20" ht="15.75">
      <c r="A3" s="871" t="s">
        <v>286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3"/>
    </row>
    <row r="4" spans="1:20" ht="56.25" customHeight="1">
      <c r="A4" s="22"/>
      <c r="B4" s="22" t="s">
        <v>176</v>
      </c>
      <c r="C4" s="22" t="s">
        <v>287</v>
      </c>
      <c r="D4" s="23" t="s">
        <v>288</v>
      </c>
      <c r="E4" s="23" t="s">
        <v>289</v>
      </c>
      <c r="F4" s="23" t="s">
        <v>290</v>
      </c>
      <c r="G4" s="23" t="s">
        <v>291</v>
      </c>
      <c r="H4" s="23" t="s">
        <v>292</v>
      </c>
      <c r="I4" s="23" t="s">
        <v>293</v>
      </c>
      <c r="J4" s="23" t="s">
        <v>294</v>
      </c>
      <c r="K4" s="23" t="s">
        <v>295</v>
      </c>
      <c r="L4" s="23" t="s">
        <v>296</v>
      </c>
      <c r="M4" s="23" t="s">
        <v>297</v>
      </c>
      <c r="N4" s="23" t="s">
        <v>298</v>
      </c>
      <c r="O4" s="23" t="s">
        <v>299</v>
      </c>
      <c r="P4" s="23" t="s">
        <v>300</v>
      </c>
      <c r="Q4" s="23" t="s">
        <v>301</v>
      </c>
      <c r="R4" s="23" t="s">
        <v>302</v>
      </c>
      <c r="S4" s="23" t="s">
        <v>303</v>
      </c>
      <c r="T4" s="23" t="s">
        <v>304</v>
      </c>
    </row>
    <row r="5" spans="1:20" ht="15.75">
      <c r="A5" s="24">
        <v>1</v>
      </c>
      <c r="B5" s="874" t="s">
        <v>174</v>
      </c>
      <c r="C5" s="875"/>
      <c r="D5" s="876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  <c r="S5" s="26"/>
      <c r="T5" s="25"/>
    </row>
    <row r="6" spans="1:20" ht="15.75">
      <c r="A6" s="27"/>
      <c r="B6" s="28" t="s">
        <v>305</v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30"/>
      <c r="T6" s="31"/>
    </row>
    <row r="7" spans="1:20" ht="15.75">
      <c r="A7" s="27"/>
      <c r="B7" s="28" t="s">
        <v>306</v>
      </c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0"/>
      <c r="T7" s="31"/>
    </row>
    <row r="8" spans="1:20" ht="15.75">
      <c r="A8" s="32"/>
      <c r="B8" s="33" t="s">
        <v>307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5.75">
      <c r="A9" s="24">
        <v>2</v>
      </c>
      <c r="B9" s="35" t="s">
        <v>275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S9" s="37"/>
      <c r="T9" s="36"/>
    </row>
    <row r="10" spans="1:20" ht="15.75">
      <c r="A10" s="27"/>
      <c r="B10" s="28" t="s">
        <v>305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  <c r="S10" s="30"/>
      <c r="T10" s="36"/>
    </row>
    <row r="11" spans="1:20" ht="15.75">
      <c r="A11" s="27"/>
      <c r="B11" s="28" t="s">
        <v>306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30"/>
      <c r="T11" s="36"/>
    </row>
    <row r="12" spans="1:20" ht="15.75">
      <c r="A12" s="32"/>
      <c r="B12" s="33" t="s">
        <v>307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.75">
      <c r="A13" s="24">
        <v>3</v>
      </c>
      <c r="B13" s="35" t="s">
        <v>276</v>
      </c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6"/>
    </row>
    <row r="14" spans="1:20" ht="15.75">
      <c r="A14" s="27"/>
      <c r="B14" s="28" t="s">
        <v>305</v>
      </c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36"/>
    </row>
    <row r="15" spans="1:20" ht="15.75">
      <c r="A15" s="27"/>
      <c r="B15" s="28" t="s">
        <v>306</v>
      </c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30"/>
      <c r="T15" s="36"/>
    </row>
    <row r="16" spans="1:20" ht="15.75">
      <c r="A16" s="32"/>
      <c r="B16" s="33" t="s">
        <v>307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.75">
      <c r="A17" s="24">
        <v>4</v>
      </c>
      <c r="B17" s="35" t="s">
        <v>277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7"/>
      <c r="T17" s="36"/>
    </row>
    <row r="18" spans="1:20" ht="15.75">
      <c r="A18" s="28"/>
      <c r="B18" s="28" t="s">
        <v>305</v>
      </c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36"/>
    </row>
    <row r="19" spans="1:20" ht="15.75">
      <c r="A19" s="27"/>
      <c r="B19" s="28" t="s">
        <v>306</v>
      </c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0"/>
      <c r="T19" s="36"/>
    </row>
    <row r="20" spans="1:20" ht="15.75">
      <c r="A20" s="32"/>
      <c r="B20" s="33" t="s">
        <v>307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5.75">
      <c r="A21" s="24">
        <v>5</v>
      </c>
      <c r="B21" s="35" t="s">
        <v>278</v>
      </c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37"/>
      <c r="T21" s="36"/>
    </row>
    <row r="22" spans="1:20" ht="15.75">
      <c r="A22" s="27"/>
      <c r="B22" s="28" t="s">
        <v>305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0"/>
      <c r="T22" s="36"/>
    </row>
    <row r="23" spans="1:20" ht="15.75">
      <c r="A23" s="27"/>
      <c r="B23" s="28" t="s">
        <v>306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0"/>
      <c r="T23" s="36"/>
    </row>
    <row r="24" spans="1:20" ht="15.75">
      <c r="A24" s="32"/>
      <c r="B24" s="33" t="s">
        <v>307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5.75">
      <c r="A25" s="24">
        <v>6</v>
      </c>
      <c r="B25" s="35" t="s">
        <v>279</v>
      </c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37"/>
      <c r="T25" s="36"/>
    </row>
    <row r="26" spans="1:20" ht="15.75">
      <c r="A26" s="27"/>
      <c r="B26" s="28" t="s">
        <v>305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30"/>
      <c r="T26" s="36"/>
    </row>
    <row r="27" spans="1:20" ht="15.75">
      <c r="A27" s="27"/>
      <c r="B27" s="28" t="s">
        <v>306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30"/>
      <c r="T27" s="36"/>
    </row>
    <row r="28" spans="1:20" ht="15.75">
      <c r="A28" s="32"/>
      <c r="B28" s="33" t="s">
        <v>307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15.75">
      <c r="A29" s="24">
        <v>7</v>
      </c>
      <c r="B29" s="35" t="s">
        <v>187</v>
      </c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  <c r="S29" s="37"/>
      <c r="T29" s="36"/>
    </row>
    <row r="30" spans="1:20" ht="15.75">
      <c r="A30" s="27"/>
      <c r="B30" s="28" t="s">
        <v>305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36"/>
    </row>
    <row r="31" spans="1:20" ht="15.75">
      <c r="A31" s="38"/>
      <c r="B31" s="39" t="s">
        <v>308</v>
      </c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1"/>
      <c r="S31" s="30"/>
      <c r="T31" s="36"/>
    </row>
    <row r="32" spans="1:20" ht="15.75">
      <c r="A32" s="38"/>
      <c r="B32" s="39" t="s">
        <v>309</v>
      </c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  <c r="S32" s="30"/>
      <c r="T32" s="36"/>
    </row>
    <row r="33" spans="1:20" ht="15.75">
      <c r="A33" s="32"/>
      <c r="B33" s="33" t="s">
        <v>307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ht="15.75">
      <c r="A34" s="24">
        <v>8</v>
      </c>
      <c r="B34" s="35" t="s">
        <v>280</v>
      </c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  <c r="S34" s="37"/>
      <c r="T34" s="36"/>
    </row>
    <row r="35" spans="1:20" ht="15.75">
      <c r="A35" s="27"/>
      <c r="B35" s="28" t="s">
        <v>305</v>
      </c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30"/>
      <c r="T35" s="36"/>
    </row>
    <row r="36" spans="1:20" ht="15.75">
      <c r="A36" s="27"/>
      <c r="B36" s="28" t="s">
        <v>310</v>
      </c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/>
      <c r="S36" s="30"/>
      <c r="T36" s="36"/>
    </row>
    <row r="37" spans="1:20" ht="15.75">
      <c r="A37" s="27"/>
      <c r="B37" s="28" t="s">
        <v>306</v>
      </c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30"/>
      <c r="T37" s="36"/>
    </row>
    <row r="38" spans="1:20" ht="15.75">
      <c r="A38" s="32"/>
      <c r="B38" s="33" t="s">
        <v>307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ht="15.75">
      <c r="A39" s="24">
        <v>9</v>
      </c>
      <c r="B39" s="874" t="s">
        <v>281</v>
      </c>
      <c r="C39" s="875"/>
      <c r="D39" s="87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  <c r="S39" s="37"/>
      <c r="T39" s="36"/>
    </row>
    <row r="40" spans="1:20" ht="15.75">
      <c r="A40" s="27"/>
      <c r="B40" s="28" t="s">
        <v>305</v>
      </c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  <c r="S40" s="30">
        <f>6000*C40</f>
        <v>0</v>
      </c>
      <c r="T40" s="36">
        <f>SUM(D40:S40)</f>
        <v>0</v>
      </c>
    </row>
    <row r="41" spans="1:20" ht="15.75">
      <c r="A41" s="27"/>
      <c r="B41" s="28" t="s">
        <v>306</v>
      </c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30">
        <f>C41*14000</f>
        <v>0</v>
      </c>
      <c r="T41" s="36">
        <f>SUM(D41:S41)</f>
        <v>0</v>
      </c>
    </row>
    <row r="42" spans="1:20" ht="15.75">
      <c r="A42" s="32"/>
      <c r="B42" s="33" t="s">
        <v>307</v>
      </c>
      <c r="C42" s="34"/>
      <c r="D42" s="34"/>
      <c r="E42" s="34"/>
      <c r="F42" s="34"/>
      <c r="G42" s="34">
        <f aca="true" t="shared" si="0" ref="G42:T42">SUM(G40:G41)</f>
        <v>0</v>
      </c>
      <c r="H42" s="34">
        <f t="shared" si="0"/>
        <v>0</v>
      </c>
      <c r="I42" s="34">
        <f t="shared" si="0"/>
        <v>0</v>
      </c>
      <c r="J42" s="34">
        <f t="shared" si="0"/>
        <v>0</v>
      </c>
      <c r="K42" s="34">
        <f t="shared" si="0"/>
        <v>0</v>
      </c>
      <c r="L42" s="34">
        <f t="shared" si="0"/>
        <v>0</v>
      </c>
      <c r="M42" s="34">
        <f t="shared" si="0"/>
        <v>0</v>
      </c>
      <c r="N42" s="34">
        <f t="shared" si="0"/>
        <v>0</v>
      </c>
      <c r="O42" s="34">
        <f t="shared" si="0"/>
        <v>0</v>
      </c>
      <c r="P42" s="34">
        <f t="shared" si="0"/>
        <v>0</v>
      </c>
      <c r="Q42" s="34">
        <f t="shared" si="0"/>
        <v>0</v>
      </c>
      <c r="R42" s="34">
        <f t="shared" si="0"/>
        <v>0</v>
      </c>
      <c r="S42" s="34">
        <f t="shared" si="0"/>
        <v>0</v>
      </c>
      <c r="T42" s="34">
        <f t="shared" si="0"/>
        <v>0</v>
      </c>
    </row>
    <row r="43" spans="1:20" ht="15.75">
      <c r="A43" s="24">
        <v>10</v>
      </c>
      <c r="B43" s="35" t="s">
        <v>282</v>
      </c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  <c r="S43" s="30">
        <f>C43*14000</f>
        <v>0</v>
      </c>
      <c r="T43" s="36"/>
    </row>
    <row r="44" spans="1:20" ht="15.75">
      <c r="A44" s="27"/>
      <c r="B44" s="28" t="s">
        <v>305</v>
      </c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  <c r="S44" s="30">
        <f>6000*C44</f>
        <v>0</v>
      </c>
      <c r="T44" s="36">
        <f>SUM(D44:S44)</f>
        <v>0</v>
      </c>
    </row>
    <row r="45" spans="1:20" ht="15.75">
      <c r="A45" s="42"/>
      <c r="B45" s="28" t="s">
        <v>306</v>
      </c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30">
        <f>C45*14000</f>
        <v>0</v>
      </c>
      <c r="T45" s="36">
        <f>SUM(D45:S45)</f>
        <v>0</v>
      </c>
    </row>
    <row r="46" spans="1:20" ht="15.75">
      <c r="A46" s="32"/>
      <c r="B46" s="33" t="s">
        <v>307</v>
      </c>
      <c r="C46" s="34"/>
      <c r="D46" s="34"/>
      <c r="E46" s="34"/>
      <c r="F46" s="34"/>
      <c r="G46" s="34">
        <f aca="true" t="shared" si="1" ref="G46:T46">SUM(G44:G45)</f>
        <v>0</v>
      </c>
      <c r="H46" s="34">
        <f t="shared" si="1"/>
        <v>0</v>
      </c>
      <c r="I46" s="34">
        <f t="shared" si="1"/>
        <v>0</v>
      </c>
      <c r="J46" s="34">
        <f t="shared" si="1"/>
        <v>0</v>
      </c>
      <c r="K46" s="34">
        <f t="shared" si="1"/>
        <v>0</v>
      </c>
      <c r="L46" s="34">
        <f t="shared" si="1"/>
        <v>0</v>
      </c>
      <c r="M46" s="34">
        <f t="shared" si="1"/>
        <v>0</v>
      </c>
      <c r="N46" s="34">
        <f t="shared" si="1"/>
        <v>0</v>
      </c>
      <c r="O46" s="34">
        <f t="shared" si="1"/>
        <v>0</v>
      </c>
      <c r="P46" s="34">
        <f t="shared" si="1"/>
        <v>0</v>
      </c>
      <c r="Q46" s="34">
        <f t="shared" si="1"/>
        <v>0</v>
      </c>
      <c r="R46" s="34">
        <f t="shared" si="1"/>
        <v>0</v>
      </c>
      <c r="S46" s="34">
        <f t="shared" si="1"/>
        <v>0</v>
      </c>
      <c r="T46" s="34">
        <f t="shared" si="1"/>
        <v>0</v>
      </c>
    </row>
    <row r="47" spans="1:20" ht="15.75">
      <c r="A47" s="24">
        <v>11</v>
      </c>
      <c r="B47" s="35" t="s">
        <v>193</v>
      </c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7"/>
      <c r="S47" s="30">
        <f>C47*14000</f>
        <v>0</v>
      </c>
      <c r="T47" s="36"/>
    </row>
    <row r="48" spans="1:20" ht="15.75">
      <c r="A48" s="27"/>
      <c r="B48" s="28" t="s">
        <v>305</v>
      </c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/>
      <c r="S48" s="30">
        <f>6000*C48</f>
        <v>0</v>
      </c>
      <c r="T48" s="36">
        <f>SUM(D48:S48)</f>
        <v>0</v>
      </c>
    </row>
    <row r="49" spans="1:20" ht="15.75">
      <c r="A49" s="27"/>
      <c r="B49" s="28" t="s">
        <v>306</v>
      </c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30">
        <f>6000*C49</f>
        <v>0</v>
      </c>
      <c r="T49" s="36">
        <f>SUM(D49:S49)</f>
        <v>0</v>
      </c>
    </row>
    <row r="50" spans="1:20" ht="15.75">
      <c r="A50" s="32"/>
      <c r="B50" s="33" t="s">
        <v>307</v>
      </c>
      <c r="C50" s="34"/>
      <c r="D50" s="34"/>
      <c r="E50" s="34"/>
      <c r="F50" s="34"/>
      <c r="G50" s="34">
        <f aca="true" t="shared" si="2" ref="G50:T50">SUM(G48:G49)</f>
        <v>0</v>
      </c>
      <c r="H50" s="34">
        <f t="shared" si="2"/>
        <v>0</v>
      </c>
      <c r="I50" s="34">
        <f t="shared" si="2"/>
        <v>0</v>
      </c>
      <c r="J50" s="34">
        <f t="shared" si="2"/>
        <v>0</v>
      </c>
      <c r="K50" s="34">
        <f t="shared" si="2"/>
        <v>0</v>
      </c>
      <c r="L50" s="34">
        <f t="shared" si="2"/>
        <v>0</v>
      </c>
      <c r="M50" s="34">
        <f t="shared" si="2"/>
        <v>0</v>
      </c>
      <c r="N50" s="34">
        <f t="shared" si="2"/>
        <v>0</v>
      </c>
      <c r="O50" s="34">
        <f t="shared" si="2"/>
        <v>0</v>
      </c>
      <c r="P50" s="34">
        <f t="shared" si="2"/>
        <v>0</v>
      </c>
      <c r="Q50" s="34">
        <f t="shared" si="2"/>
        <v>0</v>
      </c>
      <c r="R50" s="34">
        <f t="shared" si="2"/>
        <v>0</v>
      </c>
      <c r="S50" s="34">
        <f t="shared" si="2"/>
        <v>0</v>
      </c>
      <c r="T50" s="34">
        <f t="shared" si="2"/>
        <v>0</v>
      </c>
    </row>
    <row r="51" spans="1:20" ht="15.75">
      <c r="A51" s="24">
        <v>12</v>
      </c>
      <c r="B51" s="35" t="s">
        <v>283</v>
      </c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7"/>
      <c r="S51" s="30">
        <f>C51*14000</f>
        <v>0</v>
      </c>
      <c r="T51" s="36"/>
    </row>
    <row r="52" spans="1:20" ht="15.75">
      <c r="A52" s="27"/>
      <c r="B52" s="28" t="s">
        <v>305</v>
      </c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  <c r="S52" s="30">
        <f>6000*C52</f>
        <v>0</v>
      </c>
      <c r="T52" s="36">
        <f>SUM(D52:S52)</f>
        <v>0</v>
      </c>
    </row>
    <row r="53" spans="1:20" ht="15.75">
      <c r="A53" s="27"/>
      <c r="B53" s="28" t="s">
        <v>306</v>
      </c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30">
        <f>C53*14000</f>
        <v>0</v>
      </c>
      <c r="T53" s="36">
        <f>SUM(D53:S53)</f>
        <v>0</v>
      </c>
    </row>
    <row r="54" spans="1:20" ht="15.75">
      <c r="A54" s="32"/>
      <c r="B54" s="33" t="s">
        <v>307</v>
      </c>
      <c r="C54" s="34"/>
      <c r="D54" s="34"/>
      <c r="E54" s="34"/>
      <c r="F54" s="34"/>
      <c r="G54" s="34">
        <f aca="true" t="shared" si="3" ref="G54:T54">SUM(G52:G53)</f>
        <v>0</v>
      </c>
      <c r="H54" s="34">
        <f t="shared" si="3"/>
        <v>0</v>
      </c>
      <c r="I54" s="34">
        <f t="shared" si="3"/>
        <v>0</v>
      </c>
      <c r="J54" s="34">
        <f t="shared" si="3"/>
        <v>0</v>
      </c>
      <c r="K54" s="34">
        <f t="shared" si="3"/>
        <v>0</v>
      </c>
      <c r="L54" s="34">
        <f t="shared" si="3"/>
        <v>0</v>
      </c>
      <c r="M54" s="34">
        <f t="shared" si="3"/>
        <v>0</v>
      </c>
      <c r="N54" s="34">
        <f t="shared" si="3"/>
        <v>0</v>
      </c>
      <c r="O54" s="34">
        <f t="shared" si="3"/>
        <v>0</v>
      </c>
      <c r="P54" s="34">
        <f t="shared" si="3"/>
        <v>0</v>
      </c>
      <c r="Q54" s="34">
        <f t="shared" si="3"/>
        <v>0</v>
      </c>
      <c r="R54" s="34">
        <f t="shared" si="3"/>
        <v>0</v>
      </c>
      <c r="S54" s="34">
        <f t="shared" si="3"/>
        <v>0</v>
      </c>
      <c r="T54" s="34">
        <f t="shared" si="3"/>
        <v>0</v>
      </c>
    </row>
    <row r="55" spans="1:20" ht="15.75">
      <c r="A55" s="24">
        <v>13</v>
      </c>
      <c r="B55" s="35" t="s">
        <v>195</v>
      </c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7"/>
      <c r="S55" s="30">
        <f>C55*14000</f>
        <v>0</v>
      </c>
      <c r="T55" s="36"/>
    </row>
    <row r="56" spans="1:20" ht="15.75">
      <c r="A56" s="27"/>
      <c r="B56" s="28" t="s">
        <v>305</v>
      </c>
      <c r="C56" s="43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/>
      <c r="S56" s="30">
        <f>6000*C56</f>
        <v>0</v>
      </c>
      <c r="T56" s="36">
        <f>SUM(D56:S56)</f>
        <v>0</v>
      </c>
    </row>
    <row r="57" spans="1:20" ht="15.75">
      <c r="A57" s="27"/>
      <c r="B57" s="28" t="s">
        <v>306</v>
      </c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30">
        <f>C57*14000</f>
        <v>0</v>
      </c>
      <c r="T57" s="36">
        <f>SUM(D57:S57)</f>
        <v>0</v>
      </c>
    </row>
    <row r="58" spans="1:20" ht="15.75">
      <c r="A58" s="32"/>
      <c r="B58" s="33" t="s">
        <v>307</v>
      </c>
      <c r="C58" s="34"/>
      <c r="D58" s="34"/>
      <c r="E58" s="34"/>
      <c r="F58" s="34"/>
      <c r="G58" s="34">
        <f aca="true" t="shared" si="4" ref="G58:T58">SUM(G56:G57)</f>
        <v>0</v>
      </c>
      <c r="H58" s="34">
        <f t="shared" si="4"/>
        <v>0</v>
      </c>
      <c r="I58" s="34">
        <f t="shared" si="4"/>
        <v>0</v>
      </c>
      <c r="J58" s="34">
        <f t="shared" si="4"/>
        <v>0</v>
      </c>
      <c r="K58" s="34">
        <f t="shared" si="4"/>
        <v>0</v>
      </c>
      <c r="L58" s="34">
        <f t="shared" si="4"/>
        <v>0</v>
      </c>
      <c r="M58" s="34">
        <f t="shared" si="4"/>
        <v>0</v>
      </c>
      <c r="N58" s="34">
        <f t="shared" si="4"/>
        <v>0</v>
      </c>
      <c r="O58" s="34">
        <f t="shared" si="4"/>
        <v>0</v>
      </c>
      <c r="P58" s="34">
        <f t="shared" si="4"/>
        <v>0</v>
      </c>
      <c r="Q58" s="34">
        <f t="shared" si="4"/>
        <v>0</v>
      </c>
      <c r="R58" s="34">
        <f t="shared" si="4"/>
        <v>0</v>
      </c>
      <c r="S58" s="34">
        <f t="shared" si="4"/>
        <v>0</v>
      </c>
      <c r="T58" s="34">
        <f t="shared" si="4"/>
        <v>0</v>
      </c>
    </row>
    <row r="59" spans="1:20" ht="15.75">
      <c r="A59" s="44"/>
      <c r="B59" s="45" t="s">
        <v>311</v>
      </c>
      <c r="C59" s="46"/>
      <c r="D59" s="46"/>
      <c r="E59" s="46"/>
      <c r="F59" s="46"/>
      <c r="G59" s="46">
        <f aca="true" t="shared" si="5" ref="G59:T59">SUM(G8,G12,G16,G20,G24,G28,G38,G33,G42,G46,G50,G54,G58)</f>
        <v>0</v>
      </c>
      <c r="H59" s="46">
        <f t="shared" si="5"/>
        <v>0</v>
      </c>
      <c r="I59" s="46">
        <f t="shared" si="5"/>
        <v>0</v>
      </c>
      <c r="J59" s="46">
        <f t="shared" si="5"/>
        <v>0</v>
      </c>
      <c r="K59" s="46">
        <f t="shared" si="5"/>
        <v>0</v>
      </c>
      <c r="L59" s="46">
        <f t="shared" si="5"/>
        <v>0</v>
      </c>
      <c r="M59" s="46">
        <f t="shared" si="5"/>
        <v>0</v>
      </c>
      <c r="N59" s="46">
        <f t="shared" si="5"/>
        <v>0</v>
      </c>
      <c r="O59" s="46">
        <f t="shared" si="5"/>
        <v>0</v>
      </c>
      <c r="P59" s="46">
        <f t="shared" si="5"/>
        <v>0</v>
      </c>
      <c r="Q59" s="46">
        <f t="shared" si="5"/>
        <v>0</v>
      </c>
      <c r="R59" s="46">
        <f t="shared" si="5"/>
        <v>0</v>
      </c>
      <c r="S59" s="46">
        <f t="shared" si="5"/>
        <v>0</v>
      </c>
      <c r="T59" s="46">
        <f t="shared" si="5"/>
        <v>0</v>
      </c>
    </row>
  </sheetData>
  <sheetProtection/>
  <mergeCells count="5">
    <mergeCell ref="A1:T1"/>
    <mergeCell ref="A2:T2"/>
    <mergeCell ref="A3:T3"/>
    <mergeCell ref="B5:D5"/>
    <mergeCell ref="B39:D39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2:F21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10.57421875" style="0" customWidth="1"/>
    <col min="3" max="3" width="28.57421875" style="0" customWidth="1"/>
    <col min="4" max="4" width="20.421875" style="0" customWidth="1"/>
    <col min="5" max="5" width="16.421875" style="246" customWidth="1"/>
    <col min="6" max="6" width="15.421875" style="246" customWidth="1"/>
  </cols>
  <sheetData>
    <row r="1" ht="3.75" customHeight="1"/>
    <row r="2" spans="2:6" ht="25.5" customHeight="1">
      <c r="B2" s="941" t="s">
        <v>753</v>
      </c>
      <c r="C2" s="941" t="s">
        <v>754</v>
      </c>
      <c r="D2" s="286" t="s">
        <v>764</v>
      </c>
      <c r="E2" s="954" t="s">
        <v>755</v>
      </c>
      <c r="F2" s="955"/>
    </row>
    <row r="3" spans="2:6" ht="15">
      <c r="B3" s="941"/>
      <c r="C3" s="941"/>
      <c r="D3" s="286" t="s">
        <v>756</v>
      </c>
      <c r="E3" s="263" t="s">
        <v>757</v>
      </c>
      <c r="F3" s="264" t="s">
        <v>765</v>
      </c>
    </row>
    <row r="4" spans="2:6" s="93" customFormat="1" ht="25.5">
      <c r="B4" s="314">
        <v>11101</v>
      </c>
      <c r="C4" s="258" t="s">
        <v>680</v>
      </c>
      <c r="D4" s="267">
        <f>D12</f>
        <v>76485904</v>
      </c>
      <c r="E4" s="267">
        <f>E12</f>
        <v>79545340.16</v>
      </c>
      <c r="F4" s="267">
        <f>F12</f>
        <v>82727153.7664</v>
      </c>
    </row>
    <row r="5" spans="2:6" s="93" customFormat="1" ht="15">
      <c r="B5" s="230">
        <v>11102</v>
      </c>
      <c r="C5" s="259" t="s">
        <v>728</v>
      </c>
      <c r="D5" s="267" t="e">
        <f>D15</f>
        <v>#REF!</v>
      </c>
      <c r="E5" s="267" t="e">
        <f>E15</f>
        <v>#REF!</v>
      </c>
      <c r="F5" s="267" t="e">
        <f>F15</f>
        <v>#REF!</v>
      </c>
    </row>
    <row r="6" spans="2:6" s="93" customFormat="1" ht="15">
      <c r="B6" s="230">
        <v>11103</v>
      </c>
      <c r="C6" s="259" t="s">
        <v>727</v>
      </c>
      <c r="D6" s="267" t="e">
        <f>D18</f>
        <v>#REF!</v>
      </c>
      <c r="E6" s="267" t="e">
        <f>E18</f>
        <v>#REF!</v>
      </c>
      <c r="F6" s="267" t="e">
        <f>F18</f>
        <v>#REF!</v>
      </c>
    </row>
    <row r="7" spans="2:6" ht="15">
      <c r="B7" s="941" t="s">
        <v>758</v>
      </c>
      <c r="C7" s="941"/>
      <c r="D7" s="243" t="e">
        <f>SUM(D4:D6)</f>
        <v>#REF!</v>
      </c>
      <c r="E7" s="243" t="e">
        <f>SUM(E4:E6)</f>
        <v>#REF!</v>
      </c>
      <c r="F7" s="243" t="e">
        <f>SUM(F4:F6)</f>
        <v>#REF!</v>
      </c>
    </row>
    <row r="8" spans="2:6" ht="15">
      <c r="B8" s="250"/>
      <c r="C8" s="250"/>
      <c r="D8" s="250"/>
      <c r="E8" s="270"/>
      <c r="F8" s="270"/>
    </row>
    <row r="9" spans="2:6" ht="15">
      <c r="B9" s="250"/>
      <c r="C9" s="250"/>
      <c r="D9" s="250"/>
      <c r="E9" s="270"/>
      <c r="F9" s="270"/>
    </row>
    <row r="10" spans="2:6" ht="25.5">
      <c r="B10" s="940" t="s">
        <v>759</v>
      </c>
      <c r="C10" s="940" t="s">
        <v>760</v>
      </c>
      <c r="D10" s="285" t="s">
        <v>761</v>
      </c>
      <c r="E10" s="952" t="s">
        <v>755</v>
      </c>
      <c r="F10" s="952"/>
    </row>
    <row r="11" spans="2:6" ht="15">
      <c r="B11" s="940"/>
      <c r="C11" s="940"/>
      <c r="D11" s="284" t="s">
        <v>756</v>
      </c>
      <c r="E11" s="287" t="s">
        <v>757</v>
      </c>
      <c r="F11" s="253" t="s">
        <v>765</v>
      </c>
    </row>
    <row r="12" spans="2:6" s="11" customFormat="1" ht="25.5">
      <c r="B12" s="247">
        <v>11101</v>
      </c>
      <c r="C12" s="238" t="s">
        <v>680</v>
      </c>
      <c r="D12" s="232">
        <f>SUM(D13+D14)</f>
        <v>76485904</v>
      </c>
      <c r="E12" s="287">
        <f>D12*1.04</f>
        <v>79545340.16</v>
      </c>
      <c r="F12" s="287">
        <f>E12*1.04</f>
        <v>82727153.7664</v>
      </c>
    </row>
    <row r="13" spans="2:6" s="93" customFormat="1" ht="15">
      <c r="B13" s="314"/>
      <c r="C13" s="241" t="s">
        <v>762</v>
      </c>
      <c r="D13" s="228">
        <f>LANDS!E78</f>
        <v>76485904</v>
      </c>
      <c r="E13" s="254">
        <f aca="true" t="shared" si="0" ref="E13:F20">D13*1.04</f>
        <v>79545340.16</v>
      </c>
      <c r="F13" s="254">
        <f t="shared" si="0"/>
        <v>82727153.7664</v>
      </c>
    </row>
    <row r="14" spans="2:6" s="98" customFormat="1" ht="15">
      <c r="B14" s="314"/>
      <c r="C14" s="241" t="s">
        <v>763</v>
      </c>
      <c r="D14" s="284"/>
      <c r="E14" s="287">
        <f t="shared" si="0"/>
        <v>0</v>
      </c>
      <c r="F14" s="287">
        <f t="shared" si="0"/>
        <v>0</v>
      </c>
    </row>
    <row r="15" spans="2:6" s="11" customFormat="1" ht="15">
      <c r="B15" s="234">
        <v>11102</v>
      </c>
      <c r="C15" s="249" t="s">
        <v>728</v>
      </c>
      <c r="D15" s="232" t="e">
        <f>D16+D17</f>
        <v>#REF!</v>
      </c>
      <c r="E15" s="287" t="e">
        <f t="shared" si="0"/>
        <v>#REF!</v>
      </c>
      <c r="F15" s="287" t="e">
        <f t="shared" si="0"/>
        <v>#REF!</v>
      </c>
    </row>
    <row r="16" spans="2:6" s="93" customFormat="1" ht="15">
      <c r="B16" s="230"/>
      <c r="C16" s="241" t="s">
        <v>762</v>
      </c>
      <c r="D16" s="228">
        <f>LANDS!E81</f>
        <v>7900000</v>
      </c>
      <c r="E16" s="254">
        <f t="shared" si="0"/>
        <v>8216000</v>
      </c>
      <c r="F16" s="254">
        <f t="shared" si="0"/>
        <v>8544640</v>
      </c>
    </row>
    <row r="17" spans="2:6" s="98" customFormat="1" ht="15">
      <c r="B17" s="230"/>
      <c r="C17" s="241" t="s">
        <v>763</v>
      </c>
      <c r="D17" s="228" t="e">
        <f>LANDS!E87</f>
        <v>#REF!</v>
      </c>
      <c r="E17" s="254" t="e">
        <f t="shared" si="0"/>
        <v>#REF!</v>
      </c>
      <c r="F17" s="254" t="e">
        <f t="shared" si="0"/>
        <v>#REF!</v>
      </c>
    </row>
    <row r="18" spans="2:6" s="11" customFormat="1" ht="15">
      <c r="B18" s="234">
        <v>11103</v>
      </c>
      <c r="C18" s="249" t="s">
        <v>727</v>
      </c>
      <c r="D18" s="232" t="e">
        <f>D19+D20</f>
        <v>#REF!</v>
      </c>
      <c r="E18" s="287" t="e">
        <f t="shared" si="0"/>
        <v>#REF!</v>
      </c>
      <c r="F18" s="287" t="e">
        <f t="shared" si="0"/>
        <v>#REF!</v>
      </c>
    </row>
    <row r="19" spans="2:6" s="93" customFormat="1" ht="15">
      <c r="B19" s="227"/>
      <c r="C19" s="241" t="s">
        <v>762</v>
      </c>
      <c r="D19" s="228">
        <f>LANDS!E94</f>
        <v>19000000</v>
      </c>
      <c r="E19" s="254">
        <f t="shared" si="0"/>
        <v>19760000</v>
      </c>
      <c r="F19" s="254">
        <f t="shared" si="0"/>
        <v>20550400</v>
      </c>
    </row>
    <row r="20" spans="2:6" s="98" customFormat="1" ht="15">
      <c r="B20" s="284"/>
      <c r="C20" s="241" t="s">
        <v>763</v>
      </c>
      <c r="D20" s="228" t="e">
        <f>LANDS!E105</f>
        <v>#REF!</v>
      </c>
      <c r="E20" s="254" t="e">
        <f t="shared" si="0"/>
        <v>#REF!</v>
      </c>
      <c r="F20" s="254" t="e">
        <f t="shared" si="0"/>
        <v>#REF!</v>
      </c>
    </row>
    <row r="21" spans="2:6" ht="15">
      <c r="B21" s="941" t="s">
        <v>440</v>
      </c>
      <c r="C21" s="941"/>
      <c r="D21" s="243" t="e">
        <f>SUM(D12,D15,D18)</f>
        <v>#REF!</v>
      </c>
      <c r="E21" s="243" t="e">
        <f>SUM(E12,E15,E18)</f>
        <v>#REF!</v>
      </c>
      <c r="F21" s="243" t="e">
        <f>SUM(F12,F15,F18)</f>
        <v>#REF!</v>
      </c>
    </row>
  </sheetData>
  <sheetProtection/>
  <mergeCells count="8">
    <mergeCell ref="B21:C21"/>
    <mergeCell ref="B2:B3"/>
    <mergeCell ref="C2:C3"/>
    <mergeCell ref="E2:F2"/>
    <mergeCell ref="B7:C7"/>
    <mergeCell ref="B10:B11"/>
    <mergeCell ref="C10:C11"/>
    <mergeCell ref="E10:F10"/>
  </mergeCells>
  <printOptions/>
  <pageMargins left="0.7" right="0.7" top="0.75" bottom="0.75" header="0.3" footer="0.3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D17" sqref="D17"/>
    </sheetView>
  </sheetViews>
  <sheetFormatPr defaultColWidth="9.140625" defaultRowHeight="15"/>
  <cols>
    <col min="3" max="3" width="33.28125" style="0" customWidth="1"/>
    <col min="4" max="4" width="16.28125" style="0" customWidth="1"/>
    <col min="5" max="5" width="15.8515625" style="0" customWidth="1"/>
    <col min="6" max="6" width="15.140625" style="0" customWidth="1"/>
  </cols>
  <sheetData>
    <row r="2" spans="2:6" ht="25.5">
      <c r="B2" s="940" t="s">
        <v>753</v>
      </c>
      <c r="C2" s="940" t="s">
        <v>754</v>
      </c>
      <c r="D2" s="225" t="s">
        <v>764</v>
      </c>
      <c r="E2" s="940" t="s">
        <v>755</v>
      </c>
      <c r="F2" s="940"/>
    </row>
    <row r="3" spans="2:6" ht="15">
      <c r="B3" s="940"/>
      <c r="C3" s="940"/>
      <c r="D3" s="225" t="s">
        <v>756</v>
      </c>
      <c r="E3" s="225" t="s">
        <v>757</v>
      </c>
      <c r="F3" s="226" t="s">
        <v>765</v>
      </c>
    </row>
    <row r="4" spans="2:6" ht="25.5">
      <c r="B4" s="217">
        <v>11401</v>
      </c>
      <c r="C4" s="238" t="s">
        <v>680</v>
      </c>
      <c r="D4" s="229">
        <f>D11</f>
        <v>141962275</v>
      </c>
      <c r="E4" s="229">
        <f>1.04*D4</f>
        <v>147640766</v>
      </c>
      <c r="F4" s="229">
        <f>1.04*E4</f>
        <v>153546396.64000002</v>
      </c>
    </row>
    <row r="5" spans="2:6" ht="15">
      <c r="B5" s="238">
        <v>11402</v>
      </c>
      <c r="C5" s="225" t="s">
        <v>746</v>
      </c>
      <c r="D5" s="229">
        <f>D14</f>
        <v>0</v>
      </c>
      <c r="E5" s="229">
        <f>1.04*D5</f>
        <v>0</v>
      </c>
      <c r="F5" s="229">
        <f>1.04*E5</f>
        <v>0</v>
      </c>
    </row>
    <row r="6" spans="2:6" ht="15">
      <c r="B6" s="940" t="s">
        <v>758</v>
      </c>
      <c r="C6" s="940"/>
      <c r="D6" s="231">
        <f>SUM(D4:D5)</f>
        <v>141962275</v>
      </c>
      <c r="E6" s="231">
        <f>SUM(E4:E5)</f>
        <v>147640766</v>
      </c>
      <c r="F6" s="231">
        <f>SUM(F4:F5)</f>
        <v>153546396.64000002</v>
      </c>
    </row>
    <row r="7" spans="2:6" ht="15">
      <c r="B7" s="250"/>
      <c r="C7" s="250"/>
      <c r="D7" s="250"/>
      <c r="E7" s="250"/>
      <c r="F7" s="250"/>
    </row>
    <row r="8" spans="2:6" ht="15">
      <c r="B8" s="250"/>
      <c r="C8" s="250"/>
      <c r="D8" s="250"/>
      <c r="E8" s="250"/>
      <c r="F8" s="250"/>
    </row>
    <row r="9" spans="2:6" ht="25.5">
      <c r="B9" s="940" t="s">
        <v>759</v>
      </c>
      <c r="C9" s="940" t="s">
        <v>760</v>
      </c>
      <c r="D9" s="235" t="s">
        <v>761</v>
      </c>
      <c r="E9" s="942" t="s">
        <v>755</v>
      </c>
      <c r="F9" s="942"/>
    </row>
    <row r="10" spans="2:6" ht="15">
      <c r="B10" s="940"/>
      <c r="C10" s="940"/>
      <c r="D10" s="225" t="s">
        <v>756</v>
      </c>
      <c r="E10" s="225" t="s">
        <v>757</v>
      </c>
      <c r="F10" s="226" t="s">
        <v>765</v>
      </c>
    </row>
    <row r="11" spans="2:6" ht="25.5">
      <c r="B11" s="217">
        <v>11401</v>
      </c>
      <c r="C11" s="238" t="s">
        <v>680</v>
      </c>
      <c r="D11" s="231">
        <f>D12+D13</f>
        <v>141962275</v>
      </c>
      <c r="E11" s="231">
        <f>1.04*D11</f>
        <v>147640766</v>
      </c>
      <c r="F11" s="231">
        <f>1.04*E11</f>
        <v>153546396.64000002</v>
      </c>
    </row>
    <row r="12" spans="2:6" s="93" customFormat="1" ht="15">
      <c r="B12" s="227"/>
      <c r="C12" s="227" t="s">
        <v>762</v>
      </c>
      <c r="D12" s="236">
        <f>'KISII MUNICIPALITY'!E109</f>
        <v>141962275</v>
      </c>
      <c r="E12" s="229">
        <f aca="true" t="shared" si="0" ref="E12:F16">1.04*D12</f>
        <v>147640766</v>
      </c>
      <c r="F12" s="229">
        <f t="shared" si="0"/>
        <v>153546396.64000002</v>
      </c>
    </row>
    <row r="13" spans="2:6" s="93" customFormat="1" ht="15">
      <c r="B13" s="227"/>
      <c r="C13" s="227" t="s">
        <v>763</v>
      </c>
      <c r="D13" s="229"/>
      <c r="E13" s="229">
        <f t="shared" si="0"/>
        <v>0</v>
      </c>
      <c r="F13" s="229">
        <f t="shared" si="0"/>
        <v>0</v>
      </c>
    </row>
    <row r="14" spans="2:6" ht="15">
      <c r="B14" s="238">
        <v>11402</v>
      </c>
      <c r="C14" s="225" t="s">
        <v>746</v>
      </c>
      <c r="D14" s="231">
        <f>D15+D16</f>
        <v>0</v>
      </c>
      <c r="E14" s="231">
        <f t="shared" si="0"/>
        <v>0</v>
      </c>
      <c r="F14" s="231">
        <f t="shared" si="0"/>
        <v>0</v>
      </c>
    </row>
    <row r="15" spans="2:6" s="93" customFormat="1" ht="15">
      <c r="B15" s="227"/>
      <c r="C15" s="227" t="s">
        <v>762</v>
      </c>
      <c r="D15" s="229"/>
      <c r="E15" s="229">
        <f t="shared" si="0"/>
        <v>0</v>
      </c>
      <c r="F15" s="229">
        <f t="shared" si="0"/>
        <v>0</v>
      </c>
    </row>
    <row r="16" spans="2:6" s="93" customFormat="1" ht="15">
      <c r="B16" s="227"/>
      <c r="C16" s="227" t="s">
        <v>763</v>
      </c>
      <c r="D16" s="229">
        <f>'KISII MUNICIPALITY'!E110</f>
        <v>0</v>
      </c>
      <c r="E16" s="229">
        <f t="shared" si="0"/>
        <v>0</v>
      </c>
      <c r="F16" s="229">
        <f t="shared" si="0"/>
        <v>0</v>
      </c>
    </row>
    <row r="17" spans="2:6" ht="15">
      <c r="B17" s="940" t="s">
        <v>440</v>
      </c>
      <c r="C17" s="940"/>
      <c r="D17" s="231">
        <f>SUM(D11,D14)</f>
        <v>141962275</v>
      </c>
      <c r="E17" s="231">
        <f>SUM(E11,E14)</f>
        <v>147640766</v>
      </c>
      <c r="F17" s="231">
        <f>SUM(F11,F14)</f>
        <v>153546396.64000002</v>
      </c>
    </row>
  </sheetData>
  <sheetProtection/>
  <mergeCells count="8">
    <mergeCell ref="B17:C17"/>
    <mergeCell ref="B2:B3"/>
    <mergeCell ref="C2:C3"/>
    <mergeCell ref="E2:F2"/>
    <mergeCell ref="B6:C6"/>
    <mergeCell ref="B9:B10"/>
    <mergeCell ref="C9:C10"/>
    <mergeCell ref="E9:F9"/>
  </mergeCells>
  <printOptions/>
  <pageMargins left="0.7" right="0.7" top="0.75" bottom="0.75" header="0.3" footer="0.3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K21"/>
  <sheetViews>
    <sheetView zoomScalePageLayoutView="0" workbookViewId="0" topLeftCell="A4">
      <selection activeCell="H32" sqref="H32"/>
    </sheetView>
  </sheetViews>
  <sheetFormatPr defaultColWidth="9.140625" defaultRowHeight="15"/>
  <cols>
    <col min="3" max="3" width="30.00390625" style="0" customWidth="1"/>
    <col min="4" max="4" width="18.00390625" style="0" customWidth="1"/>
    <col min="5" max="5" width="13.28125" style="0" customWidth="1"/>
    <col min="6" max="6" width="13.00390625" style="0" customWidth="1"/>
  </cols>
  <sheetData>
    <row r="2" spans="2:6" ht="27" customHeight="1">
      <c r="B2" s="940" t="s">
        <v>753</v>
      </c>
      <c r="C2" s="940" t="s">
        <v>754</v>
      </c>
      <c r="D2" s="322" t="s">
        <v>764</v>
      </c>
      <c r="E2" s="947" t="s">
        <v>755</v>
      </c>
      <c r="F2" s="947"/>
    </row>
    <row r="3" spans="2:6" ht="21" customHeight="1">
      <c r="B3" s="940"/>
      <c r="C3" s="940"/>
      <c r="D3" s="322" t="s">
        <v>756</v>
      </c>
      <c r="E3" s="324" t="s">
        <v>757</v>
      </c>
      <c r="F3" s="253" t="s">
        <v>765</v>
      </c>
    </row>
    <row r="4" spans="2:6" ht="29.25" customHeight="1">
      <c r="B4" s="364">
        <v>10101</v>
      </c>
      <c r="C4" s="364" t="s">
        <v>868</v>
      </c>
      <c r="D4" s="228">
        <f>D12</f>
        <v>38339787</v>
      </c>
      <c r="E4" s="254">
        <f aca="true" t="shared" si="0" ref="E4:F6">1.04*D4</f>
        <v>39873378.480000004</v>
      </c>
      <c r="F4" s="255">
        <f t="shared" si="0"/>
        <v>41468313.619200006</v>
      </c>
    </row>
    <row r="5" spans="2:6" ht="34.5" customHeight="1">
      <c r="B5" s="365">
        <v>10102</v>
      </c>
      <c r="C5" s="365" t="s">
        <v>869</v>
      </c>
      <c r="D5" s="228">
        <f>D15</f>
        <v>546943330</v>
      </c>
      <c r="E5" s="254">
        <f t="shared" si="0"/>
        <v>568821063.2</v>
      </c>
      <c r="F5" s="255">
        <f t="shared" si="0"/>
        <v>591573905.728</v>
      </c>
    </row>
    <row r="6" spans="2:11" ht="29.25" customHeight="1">
      <c r="B6" s="366">
        <v>10103</v>
      </c>
      <c r="C6" s="365" t="s">
        <v>872</v>
      </c>
      <c r="D6" s="228">
        <f>D18</f>
        <v>572867588</v>
      </c>
      <c r="E6" s="254">
        <f t="shared" si="0"/>
        <v>595782291.52</v>
      </c>
      <c r="F6" s="255">
        <f t="shared" si="0"/>
        <v>619613583.1808</v>
      </c>
      <c r="K6" s="360"/>
    </row>
    <row r="7" spans="2:6" ht="15">
      <c r="B7" s="940" t="s">
        <v>758</v>
      </c>
      <c r="C7" s="940"/>
      <c r="D7" s="231">
        <f>SUM(D4:D6)</f>
        <v>1158150705</v>
      </c>
      <c r="E7" s="231">
        <f>SUM(E4:E6)</f>
        <v>1204476733.2</v>
      </c>
      <c r="F7" s="231">
        <f>SUM(F4:F6)</f>
        <v>1252655802.5279999</v>
      </c>
    </row>
    <row r="10" spans="2:6" ht="25.5">
      <c r="B10" s="940" t="s">
        <v>753</v>
      </c>
      <c r="C10" s="940" t="s">
        <v>754</v>
      </c>
      <c r="D10" s="322" t="s">
        <v>764</v>
      </c>
      <c r="E10" s="947" t="s">
        <v>755</v>
      </c>
      <c r="F10" s="947"/>
    </row>
    <row r="11" spans="2:6" ht="15">
      <c r="B11" s="940"/>
      <c r="C11" s="940"/>
      <c r="D11" s="322" t="s">
        <v>756</v>
      </c>
      <c r="E11" s="324" t="s">
        <v>757</v>
      </c>
      <c r="F11" s="253" t="s">
        <v>765</v>
      </c>
    </row>
    <row r="12" spans="2:6" s="11" customFormat="1" ht="18" customHeight="1">
      <c r="B12" s="363">
        <v>10101</v>
      </c>
      <c r="C12" s="363" t="s">
        <v>868</v>
      </c>
      <c r="D12" s="232">
        <f>D13+D14</f>
        <v>38339787</v>
      </c>
      <c r="E12" s="324">
        <f>1.04*D12</f>
        <v>39873378.480000004</v>
      </c>
      <c r="F12" s="253">
        <f>1.04*E12</f>
        <v>41468313.619200006</v>
      </c>
    </row>
    <row r="13" spans="2:6" s="98" customFormat="1" ht="15">
      <c r="B13" s="221"/>
      <c r="C13" s="227" t="s">
        <v>762</v>
      </c>
      <c r="D13" s="228">
        <f>'COUNTY ASSEMBLY'!E58</f>
        <v>38339787</v>
      </c>
      <c r="E13" s="254">
        <f aca="true" t="shared" si="1" ref="E13:E20">1.04*D13</f>
        <v>39873378.480000004</v>
      </c>
      <c r="F13" s="255">
        <f aca="true" t="shared" si="2" ref="F13:F20">1.04*E13</f>
        <v>41468313.619200006</v>
      </c>
    </row>
    <row r="14" spans="2:6" s="98" customFormat="1" ht="15">
      <c r="B14" s="221"/>
      <c r="C14" s="227" t="s">
        <v>763</v>
      </c>
      <c r="D14" s="228"/>
      <c r="E14" s="254">
        <f t="shared" si="1"/>
        <v>0</v>
      </c>
      <c r="F14" s="255">
        <f t="shared" si="2"/>
        <v>0</v>
      </c>
    </row>
    <row r="15" spans="2:6" s="11" customFormat="1" ht="25.5">
      <c r="B15" s="361">
        <v>10102</v>
      </c>
      <c r="C15" s="361" t="s">
        <v>869</v>
      </c>
      <c r="D15" s="232">
        <f>D16+D17</f>
        <v>546943330</v>
      </c>
      <c r="E15" s="324">
        <f t="shared" si="1"/>
        <v>568821063.2</v>
      </c>
      <c r="F15" s="253">
        <f t="shared" si="2"/>
        <v>591573905.728</v>
      </c>
    </row>
    <row r="16" spans="2:6" s="98" customFormat="1" ht="15">
      <c r="B16" s="260"/>
      <c r="C16" s="227" t="s">
        <v>762</v>
      </c>
      <c r="D16" s="228">
        <f>'COUNTY ASSEMBLY'!E109</f>
        <v>546943330</v>
      </c>
      <c r="E16" s="254">
        <f t="shared" si="1"/>
        <v>568821063.2</v>
      </c>
      <c r="F16" s="255">
        <f t="shared" si="2"/>
        <v>591573905.728</v>
      </c>
    </row>
    <row r="17" spans="2:6" s="98" customFormat="1" ht="15">
      <c r="B17" s="260"/>
      <c r="C17" s="227" t="s">
        <v>763</v>
      </c>
      <c r="D17" s="228"/>
      <c r="E17" s="254">
        <f t="shared" si="1"/>
        <v>0</v>
      </c>
      <c r="F17" s="255">
        <f t="shared" si="2"/>
        <v>0</v>
      </c>
    </row>
    <row r="18" spans="2:6" s="11" customFormat="1" ht="12.75" customHeight="1">
      <c r="B18" s="362">
        <v>10103</v>
      </c>
      <c r="C18" s="361" t="s">
        <v>946</v>
      </c>
      <c r="D18" s="232">
        <f>D19+D20</f>
        <v>572867588</v>
      </c>
      <c r="E18" s="324">
        <f t="shared" si="1"/>
        <v>595782291.52</v>
      </c>
      <c r="F18" s="253">
        <f t="shared" si="2"/>
        <v>619613583.1808</v>
      </c>
    </row>
    <row r="19" spans="2:6" s="98" customFormat="1" ht="12.75" customHeight="1">
      <c r="B19" s="221"/>
      <c r="C19" s="227" t="s">
        <v>762</v>
      </c>
      <c r="D19" s="228">
        <f>'COUNTY ASSEMBLY'!E197</f>
        <v>372867588</v>
      </c>
      <c r="E19" s="254">
        <f t="shared" si="1"/>
        <v>387782291.52000004</v>
      </c>
      <c r="F19" s="255">
        <f t="shared" si="2"/>
        <v>403293583.1808001</v>
      </c>
    </row>
    <row r="20" spans="2:6" s="98" customFormat="1" ht="12.75" customHeight="1">
      <c r="B20" s="221"/>
      <c r="C20" s="227" t="s">
        <v>763</v>
      </c>
      <c r="D20" s="228">
        <f>'COUNTY ASSEMBLY'!E203</f>
        <v>200000000</v>
      </c>
      <c r="E20" s="254">
        <f t="shared" si="1"/>
        <v>208000000</v>
      </c>
      <c r="F20" s="255">
        <f t="shared" si="2"/>
        <v>216320000</v>
      </c>
    </row>
    <row r="21" spans="2:6" ht="15">
      <c r="B21" s="940" t="s">
        <v>758</v>
      </c>
      <c r="C21" s="940"/>
      <c r="D21" s="231">
        <f>SUM(D12,D15,D18)</f>
        <v>1158150705</v>
      </c>
      <c r="E21" s="231">
        <f>SUM(E12,E15,E18)</f>
        <v>1204476733.2</v>
      </c>
      <c r="F21" s="231">
        <f>SUM(F12,F15,F18)</f>
        <v>1252655802.5279999</v>
      </c>
    </row>
  </sheetData>
  <sheetProtection/>
  <mergeCells count="8">
    <mergeCell ref="B21:C21"/>
    <mergeCell ref="B2:B3"/>
    <mergeCell ref="C2:C3"/>
    <mergeCell ref="E2:F2"/>
    <mergeCell ref="B7:C7"/>
    <mergeCell ref="B10:B11"/>
    <mergeCell ref="C10:C11"/>
    <mergeCell ref="E10:F10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7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110" zoomScaleSheetLayoutView="110" workbookViewId="0" topLeftCell="A13">
      <selection activeCell="D6" sqref="D6:D7"/>
    </sheetView>
  </sheetViews>
  <sheetFormatPr defaultColWidth="9.140625" defaultRowHeight="15"/>
  <cols>
    <col min="1" max="1" width="69.28125" style="0" customWidth="1"/>
    <col min="2" max="2" width="19.421875" style="9" customWidth="1"/>
    <col min="3" max="3" width="18.28125" style="54" customWidth="1"/>
    <col min="4" max="4" width="18.421875" style="54" customWidth="1"/>
  </cols>
  <sheetData>
    <row r="1" spans="1:4" ht="22.5">
      <c r="A1" s="877" t="s">
        <v>284</v>
      </c>
      <c r="B1" s="878"/>
      <c r="C1" s="414"/>
      <c r="D1" s="414"/>
    </row>
    <row r="2" spans="1:4" ht="22.5">
      <c r="A2" s="877" t="s">
        <v>314</v>
      </c>
      <c r="B2" s="878"/>
      <c r="C2" s="414"/>
      <c r="D2" s="414"/>
    </row>
    <row r="3" spans="1:4" ht="49.5" customHeight="1">
      <c r="A3" s="421" t="s">
        <v>176</v>
      </c>
      <c r="B3" s="422" t="s">
        <v>998</v>
      </c>
      <c r="C3" s="423" t="s">
        <v>995</v>
      </c>
      <c r="D3" s="424" t="s">
        <v>389</v>
      </c>
    </row>
    <row r="4" spans="1:4" ht="15.75">
      <c r="A4" s="4" t="s">
        <v>174</v>
      </c>
      <c r="B4" s="74" t="e">
        <f>'PROJECTS DETAILS'!#REF!</f>
        <v>#REF!</v>
      </c>
      <c r="C4" s="60" t="e">
        <f>'PROJECTS DETAILS'!#REF!</f>
        <v>#REF!</v>
      </c>
      <c r="D4" s="425" t="e">
        <f>B4+C4</f>
        <v>#REF!</v>
      </c>
    </row>
    <row r="5" spans="1:4" ht="15.75">
      <c r="A5" s="4" t="s">
        <v>315</v>
      </c>
      <c r="B5" s="74">
        <f>'COUNTY ASSEMBLY'!C203</f>
        <v>180000000</v>
      </c>
      <c r="C5" s="485">
        <v>10000000</v>
      </c>
      <c r="D5" s="425">
        <f aca="true" t="shared" si="0" ref="D5:D21">B5+C5</f>
        <v>190000000</v>
      </c>
    </row>
    <row r="6" spans="1:4" ht="15.75">
      <c r="A6" s="4" t="s">
        <v>316</v>
      </c>
      <c r="B6" s="74" t="e">
        <f>'PROJECTS DETAILS'!#REF!</f>
        <v>#REF!</v>
      </c>
      <c r="C6" s="60" t="e">
        <f>'PROJECTS DETAILS'!#REF!</f>
        <v>#REF!</v>
      </c>
      <c r="D6" s="425" t="e">
        <f t="shared" si="0"/>
        <v>#REF!</v>
      </c>
    </row>
    <row r="7" spans="1:4" ht="15.75">
      <c r="A7" s="4" t="s">
        <v>180</v>
      </c>
      <c r="B7" s="74" t="e">
        <f>'PROJECTS DETAILS'!#REF!</f>
        <v>#REF!</v>
      </c>
      <c r="C7" s="60" t="e">
        <f>'PROJECTS DETAILS'!#REF!</f>
        <v>#REF!</v>
      </c>
      <c r="D7" s="425" t="e">
        <f t="shared" si="0"/>
        <v>#REF!</v>
      </c>
    </row>
    <row r="8" spans="1:4" ht="15.75">
      <c r="A8" s="4" t="s">
        <v>337</v>
      </c>
      <c r="B8" s="74" t="e">
        <f>'PROJECTS DETAILS'!#REF!</f>
        <v>#REF!</v>
      </c>
      <c r="C8" s="60" t="e">
        <f>'PROJECTS DETAILS'!#REF!</f>
        <v>#REF!</v>
      </c>
      <c r="D8" s="425" t="e">
        <f t="shared" si="0"/>
        <v>#REF!</v>
      </c>
    </row>
    <row r="9" spans="1:4" ht="15.75">
      <c r="A9" s="4" t="s">
        <v>182</v>
      </c>
      <c r="B9" s="74" t="e">
        <f>'PROJECTS DETAILS'!#REF!</f>
        <v>#REF!</v>
      </c>
      <c r="C9" s="60" t="e">
        <f>'PROJECTS DETAILS'!#REF!</f>
        <v>#REF!</v>
      </c>
      <c r="D9" s="425" t="e">
        <f t="shared" si="0"/>
        <v>#REF!</v>
      </c>
    </row>
    <row r="10" spans="1:4" ht="15.75">
      <c r="A10" s="4" t="s">
        <v>183</v>
      </c>
      <c r="B10" s="74" t="e">
        <f>'PROJECTS DETAILS'!#REF!</f>
        <v>#REF!</v>
      </c>
      <c r="C10" s="60" t="e">
        <f>'PROJECTS DETAILS'!#REF!</f>
        <v>#REF!</v>
      </c>
      <c r="D10" s="425" t="e">
        <f t="shared" si="0"/>
        <v>#REF!</v>
      </c>
    </row>
    <row r="11" spans="1:4" ht="19.5" customHeight="1">
      <c r="A11" s="4" t="s">
        <v>319</v>
      </c>
      <c r="B11" s="74" t="e">
        <f>'PROJECTS DETAILS'!#REF!</f>
        <v>#REF!</v>
      </c>
      <c r="C11" s="60" t="e">
        <f>'PROJECTS DETAILS'!#REF!</f>
        <v>#REF!</v>
      </c>
      <c r="D11" s="425" t="e">
        <f t="shared" si="0"/>
        <v>#REF!</v>
      </c>
    </row>
    <row r="12" spans="1:4" ht="15.75">
      <c r="A12" s="4" t="s">
        <v>279</v>
      </c>
      <c r="B12" s="74" t="e">
        <f>'PROJECTS DETAILS'!#REF!</f>
        <v>#REF!</v>
      </c>
      <c r="C12" s="60" t="e">
        <f>'PROJECTS DETAILS'!#REF!</f>
        <v>#REF!</v>
      </c>
      <c r="D12" s="425" t="e">
        <f t="shared" si="0"/>
        <v>#REF!</v>
      </c>
    </row>
    <row r="13" spans="1:4" ht="15.75">
      <c r="A13" s="4" t="s">
        <v>185</v>
      </c>
      <c r="B13" s="74" t="e">
        <f>'PROJECTS DETAILS'!#REF!</f>
        <v>#REF!</v>
      </c>
      <c r="C13" s="60" t="e">
        <f>'PROJECTS DETAILS'!#REF!</f>
        <v>#REF!</v>
      </c>
      <c r="D13" s="425" t="e">
        <f t="shared" si="0"/>
        <v>#REF!</v>
      </c>
    </row>
    <row r="14" spans="1:4" ht="15.75">
      <c r="A14" s="4" t="s">
        <v>187</v>
      </c>
      <c r="B14" s="74" t="e">
        <f>'PROJECTS DETAILS'!#REF!</f>
        <v>#REF!</v>
      </c>
      <c r="C14" s="60" t="e">
        <f>'PROJECTS DETAILS'!#REF!</f>
        <v>#REF!</v>
      </c>
      <c r="D14" s="425" t="e">
        <f t="shared" si="0"/>
        <v>#REF!</v>
      </c>
    </row>
    <row r="15" spans="1:4" ht="15.75">
      <c r="A15" s="4" t="s">
        <v>188</v>
      </c>
      <c r="B15" s="74" t="e">
        <f>'PROJECTS DETAILS'!#REF!</f>
        <v>#REF!</v>
      </c>
      <c r="C15" s="60" t="e">
        <f>'PROJECTS DETAILS'!#REF!</f>
        <v>#REF!</v>
      </c>
      <c r="D15" s="425" t="e">
        <f t="shared" si="0"/>
        <v>#REF!</v>
      </c>
    </row>
    <row r="16" spans="1:4" ht="15.75">
      <c r="A16" s="4" t="s">
        <v>338</v>
      </c>
      <c r="B16" s="74" t="e">
        <f>'PROJECTS DETAILS'!#REF!</f>
        <v>#REF!</v>
      </c>
      <c r="C16" s="60" t="e">
        <f>'PROJECTS DETAILS'!#REF!</f>
        <v>#REF!</v>
      </c>
      <c r="D16" s="425" t="e">
        <f t="shared" si="0"/>
        <v>#REF!</v>
      </c>
    </row>
    <row r="17" spans="1:4" ht="15.75">
      <c r="A17" s="4" t="s">
        <v>215</v>
      </c>
      <c r="B17" s="74" t="e">
        <f>'PROJECTS DETAILS'!#REF!</f>
        <v>#REF!</v>
      </c>
      <c r="C17" s="60" t="e">
        <f>'PROJECTS DETAILS'!#REF!</f>
        <v>#REF!</v>
      </c>
      <c r="D17" s="425" t="e">
        <f t="shared" si="0"/>
        <v>#REF!</v>
      </c>
    </row>
    <row r="18" spans="1:4" ht="15.75">
      <c r="A18" s="4" t="s">
        <v>216</v>
      </c>
      <c r="B18" s="74" t="e">
        <f>'PROJECTS DETAILS'!#REF!</f>
        <v>#REF!</v>
      </c>
      <c r="C18" s="60" t="e">
        <f>'PROJECTS DETAILS'!#REF!</f>
        <v>#REF!</v>
      </c>
      <c r="D18" s="425" t="e">
        <f t="shared" si="0"/>
        <v>#REF!</v>
      </c>
    </row>
    <row r="19" spans="1:4" ht="15.75">
      <c r="A19" s="4" t="s">
        <v>193</v>
      </c>
      <c r="B19" s="74" t="e">
        <f>'PROJECTS DETAILS'!#REF!</f>
        <v>#REF!</v>
      </c>
      <c r="C19" s="60" t="e">
        <f>'PROJECTS DETAILS'!#REF!</f>
        <v>#REF!</v>
      </c>
      <c r="D19" s="425" t="e">
        <f t="shared" si="0"/>
        <v>#REF!</v>
      </c>
    </row>
    <row r="20" spans="1:4" ht="15.75">
      <c r="A20" s="4" t="s">
        <v>283</v>
      </c>
      <c r="B20" s="74" t="e">
        <f>'PROJECTS DETAILS'!#REF!</f>
        <v>#REF!</v>
      </c>
      <c r="C20" s="60" t="e">
        <f>'PROJECTS DETAILS'!#REF!</f>
        <v>#REF!</v>
      </c>
      <c r="D20" s="425" t="e">
        <f t="shared" si="0"/>
        <v>#REF!</v>
      </c>
    </row>
    <row r="21" spans="1:4" ht="15.75">
      <c r="A21" s="4" t="s">
        <v>390</v>
      </c>
      <c r="B21" s="74" t="e">
        <f>'PROJECTS DETAILS'!#REF!</f>
        <v>#REF!</v>
      </c>
      <c r="C21" s="60" t="e">
        <f>'PROJECTS DETAILS'!#REF!</f>
        <v>#REF!</v>
      </c>
      <c r="D21" s="425" t="e">
        <f t="shared" si="0"/>
        <v>#REF!</v>
      </c>
    </row>
    <row r="22" spans="1:4" ht="18.75">
      <c r="A22" s="48" t="s">
        <v>197</v>
      </c>
      <c r="B22" s="107" t="e">
        <f>SUM(B4:B21)</f>
        <v>#REF!</v>
      </c>
      <c r="C22" s="107" t="e">
        <f>SUM(C4:C21)</f>
        <v>#REF!</v>
      </c>
      <c r="D22" s="107" t="e">
        <f>SUM(D4:D21)</f>
        <v>#REF!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view="pageBreakPreview" zoomScaleSheetLayoutView="100" workbookViewId="0" topLeftCell="B4">
      <selection activeCell="D25" sqref="D25"/>
    </sheetView>
  </sheetViews>
  <sheetFormatPr defaultColWidth="9.140625" defaultRowHeight="15"/>
  <cols>
    <col min="1" max="1" width="5.8515625" style="0" customWidth="1"/>
    <col min="2" max="2" width="62.7109375" style="0" customWidth="1"/>
    <col min="3" max="3" width="15.140625" style="0" customWidth="1"/>
    <col min="4" max="4" width="18.00390625" style="0" customWidth="1"/>
    <col min="5" max="5" width="17.7109375" style="0" customWidth="1"/>
  </cols>
  <sheetData>
    <row r="1" spans="1:3" ht="15.75">
      <c r="A1" s="879" t="s">
        <v>175</v>
      </c>
      <c r="B1" s="880"/>
      <c r="C1" s="881"/>
    </row>
    <row r="2" spans="1:5" ht="63">
      <c r="A2" s="86"/>
      <c r="B2" s="177" t="s">
        <v>176</v>
      </c>
      <c r="C2" s="393" t="s">
        <v>999</v>
      </c>
      <c r="D2" s="429" t="s">
        <v>995</v>
      </c>
      <c r="E2" s="428" t="s">
        <v>1000</v>
      </c>
    </row>
    <row r="3" spans="1:5" s="21" customFormat="1" ht="15.75">
      <c r="A3" s="27">
        <v>1</v>
      </c>
      <c r="B3" s="27" t="s">
        <v>177</v>
      </c>
      <c r="C3" s="426" t="e">
        <f>EXECUTIVE!#REF!</f>
        <v>#REF!</v>
      </c>
      <c r="D3" s="419" t="e">
        <f>EXECUTIVE!#REF!</f>
        <v>#REF!</v>
      </c>
      <c r="E3" s="419" t="e">
        <f>C3+D3</f>
        <v>#REF!</v>
      </c>
    </row>
    <row r="4" spans="1:5" ht="15.75">
      <c r="A4" s="4">
        <v>2</v>
      </c>
      <c r="B4" s="4" t="s">
        <v>178</v>
      </c>
      <c r="C4" s="60" t="e">
        <f>CPSB!#REF!</f>
        <v>#REF!</v>
      </c>
      <c r="D4" s="105" t="e">
        <f>CPSB!#REF!</f>
        <v>#REF!</v>
      </c>
      <c r="E4" s="419" t="e">
        <f aca="true" t="shared" si="0" ref="E4:E22">C4+D4</f>
        <v>#REF!</v>
      </c>
    </row>
    <row r="5" spans="1:5" ht="15.75">
      <c r="A5" s="4">
        <v>3</v>
      </c>
      <c r="B5" s="4" t="s">
        <v>179</v>
      </c>
      <c r="C5" s="60" t="e">
        <f>ADMINISTRATION!#REF!</f>
        <v>#REF!</v>
      </c>
      <c r="D5" s="201"/>
      <c r="E5" s="419" t="e">
        <f t="shared" si="0"/>
        <v>#REF!</v>
      </c>
    </row>
    <row r="6" spans="1:5" ht="15.75">
      <c r="A6" s="4">
        <v>4</v>
      </c>
      <c r="B6" s="4" t="s">
        <v>180</v>
      </c>
      <c r="C6" s="60" t="e">
        <f>STAKEHOLDER!#REF!</f>
        <v>#REF!</v>
      </c>
      <c r="D6" s="201"/>
      <c r="E6" s="419" t="e">
        <f t="shared" si="0"/>
        <v>#REF!</v>
      </c>
    </row>
    <row r="7" spans="1:5" ht="15.75">
      <c r="A7" s="4">
        <v>5</v>
      </c>
      <c r="B7" s="4" t="s">
        <v>181</v>
      </c>
      <c r="C7" s="60">
        <f>FINANCE!C218</f>
        <v>503320000</v>
      </c>
      <c r="D7" s="201"/>
      <c r="E7" s="419">
        <f t="shared" si="0"/>
        <v>503320000</v>
      </c>
    </row>
    <row r="8" spans="1:5" ht="15.75">
      <c r="A8" s="4">
        <v>6</v>
      </c>
      <c r="B8" s="4" t="s">
        <v>182</v>
      </c>
      <c r="C8" s="60">
        <f>PLANNING!C155</f>
        <v>110270000</v>
      </c>
      <c r="D8" s="201"/>
      <c r="E8" s="419">
        <f t="shared" si="0"/>
        <v>110270000</v>
      </c>
    </row>
    <row r="9" spans="1:5" ht="15.75">
      <c r="A9" s="4">
        <v>7</v>
      </c>
      <c r="B9" s="4" t="s">
        <v>183</v>
      </c>
      <c r="C9" s="198">
        <f>'LIVESTOCK &amp; VET'!C140</f>
        <v>69344206</v>
      </c>
      <c r="D9" s="201"/>
      <c r="E9" s="419">
        <f t="shared" si="0"/>
        <v>69344206</v>
      </c>
    </row>
    <row r="10" spans="1:5" ht="15.75">
      <c r="A10" s="4">
        <v>8</v>
      </c>
      <c r="B10" s="4" t="s">
        <v>184</v>
      </c>
      <c r="C10" s="60">
        <f>'AGRIC &amp; COOP'!C125</f>
        <v>16065000</v>
      </c>
      <c r="D10" s="201"/>
      <c r="E10" s="419">
        <f t="shared" si="0"/>
        <v>16065000</v>
      </c>
    </row>
    <row r="11" spans="1:5" ht="15.75">
      <c r="A11" s="4">
        <v>9</v>
      </c>
      <c r="B11" s="4" t="s">
        <v>185</v>
      </c>
      <c r="C11" s="60">
        <f>WATER!C67</f>
        <v>50750000</v>
      </c>
      <c r="D11" s="201"/>
      <c r="E11" s="419">
        <f t="shared" si="0"/>
        <v>50750000</v>
      </c>
    </row>
    <row r="12" spans="1:5" s="21" customFormat="1" ht="15" customHeight="1">
      <c r="A12" s="27">
        <v>10</v>
      </c>
      <c r="B12" s="27" t="s">
        <v>186</v>
      </c>
      <c r="C12" s="108">
        <f>'ENERGY &amp; ENV'!C103</f>
        <v>50850000</v>
      </c>
      <c r="D12" s="416"/>
      <c r="E12" s="419">
        <f t="shared" si="0"/>
        <v>50850000</v>
      </c>
    </row>
    <row r="13" spans="1:5" ht="15.75">
      <c r="A13" s="4">
        <v>11</v>
      </c>
      <c r="B13" s="4" t="s">
        <v>187</v>
      </c>
      <c r="C13" s="60">
        <f>EDUCATION!C103</f>
        <v>173150000</v>
      </c>
      <c r="D13" s="201"/>
      <c r="E13" s="419">
        <f t="shared" si="0"/>
        <v>173150000</v>
      </c>
    </row>
    <row r="14" spans="1:5" ht="15.75">
      <c r="A14" s="4">
        <v>12</v>
      </c>
      <c r="B14" s="4" t="s">
        <v>188</v>
      </c>
      <c r="C14" s="60">
        <f>MEDICAL!C119</f>
        <v>449073901</v>
      </c>
      <c r="D14" s="201"/>
      <c r="E14" s="419">
        <f t="shared" si="0"/>
        <v>449073901</v>
      </c>
    </row>
    <row r="15" spans="1:5" ht="15.75">
      <c r="A15" s="4">
        <v>13</v>
      </c>
      <c r="B15" s="4" t="s">
        <v>189</v>
      </c>
      <c r="C15" s="60">
        <f>'PUBLIC HEALTH'!C50</f>
        <v>35950000</v>
      </c>
      <c r="D15" s="201"/>
      <c r="E15" s="419">
        <f t="shared" si="0"/>
        <v>35950000</v>
      </c>
    </row>
    <row r="16" spans="1:5" ht="15.75">
      <c r="A16" s="4">
        <v>14</v>
      </c>
      <c r="B16" s="4" t="s">
        <v>190</v>
      </c>
      <c r="C16" s="60">
        <f>LANDS!C107</f>
        <v>70167404</v>
      </c>
      <c r="D16" s="201"/>
      <c r="E16" s="419">
        <f t="shared" si="0"/>
        <v>70167404</v>
      </c>
    </row>
    <row r="17" spans="1:5" ht="15.75">
      <c r="A17" s="4">
        <v>15</v>
      </c>
      <c r="B17" s="4" t="s">
        <v>191</v>
      </c>
      <c r="C17" s="60">
        <f>ROADS!C89</f>
        <v>26145000</v>
      </c>
      <c r="D17" s="201"/>
      <c r="E17" s="419">
        <f t="shared" si="0"/>
        <v>26145000</v>
      </c>
    </row>
    <row r="18" spans="1:5" ht="15.75">
      <c r="A18" s="4">
        <v>16</v>
      </c>
      <c r="B18" s="4" t="s">
        <v>192</v>
      </c>
      <c r="C18" s="60">
        <f>'PUBLIC WORKS'!C79</f>
        <v>48240000</v>
      </c>
      <c r="D18" s="201"/>
      <c r="E18" s="419">
        <f t="shared" si="0"/>
        <v>48240000</v>
      </c>
    </row>
    <row r="19" spans="1:5" ht="15.75">
      <c r="A19" s="4">
        <v>17</v>
      </c>
      <c r="B19" s="4" t="s">
        <v>193</v>
      </c>
      <c r="C19" s="60">
        <f>TRADE!C156</f>
        <v>64340000</v>
      </c>
      <c r="D19" s="201"/>
      <c r="E19" s="419">
        <f t="shared" si="0"/>
        <v>64340000</v>
      </c>
    </row>
    <row r="20" spans="1:5" ht="15.75">
      <c r="A20" s="4">
        <v>18</v>
      </c>
      <c r="B20" s="4" t="s">
        <v>194</v>
      </c>
      <c r="C20" s="60">
        <f>CULTURE!C126</f>
        <v>34895603</v>
      </c>
      <c r="D20" s="201"/>
      <c r="E20" s="419">
        <f t="shared" si="0"/>
        <v>34895603</v>
      </c>
    </row>
    <row r="21" spans="1:5" ht="15.75">
      <c r="A21" s="4">
        <v>19</v>
      </c>
      <c r="B21" s="4" t="s">
        <v>390</v>
      </c>
      <c r="C21" s="60">
        <f>'KISII MUNICIPALITY'!C108</f>
        <v>96529603</v>
      </c>
      <c r="D21" s="201"/>
      <c r="E21" s="419">
        <f t="shared" si="0"/>
        <v>96529603</v>
      </c>
    </row>
    <row r="22" spans="1:5" ht="15.75">
      <c r="A22" s="4">
        <v>20</v>
      </c>
      <c r="B22" s="4" t="s">
        <v>196</v>
      </c>
      <c r="C22" s="60">
        <f>'COUNTY ASSEMBLY'!C196+'COUNTY ASSEMBLY'!C108+'COUNTY ASSEMBLY'!C57</f>
        <v>422145686</v>
      </c>
      <c r="D22" s="201"/>
      <c r="E22" s="419">
        <f t="shared" si="0"/>
        <v>422145686</v>
      </c>
    </row>
    <row r="23" spans="1:5" s="11" customFormat="1" ht="15.75">
      <c r="A23" s="86"/>
      <c r="B23" s="86" t="s">
        <v>197</v>
      </c>
      <c r="C23" s="97" t="e">
        <f>SUM(C3:C22)</f>
        <v>#REF!</v>
      </c>
      <c r="D23" s="97" t="e">
        <f>SUM(D3:D22)</f>
        <v>#REF!</v>
      </c>
      <c r="E23" s="97" t="e">
        <f>SUM(E3:E22)</f>
        <v>#REF!</v>
      </c>
    </row>
    <row r="24" spans="1:4" ht="21">
      <c r="A24" s="10"/>
      <c r="B24" s="10"/>
      <c r="C24" s="9"/>
      <c r="D24" s="9" t="e">
        <f>E23+'PROJECT SUMMARY'!D22+'GRAND SUMMARY'!C23</f>
        <v>#REF!</v>
      </c>
    </row>
    <row r="25" spans="1:2" ht="21">
      <c r="A25" s="10"/>
      <c r="B25" s="10"/>
    </row>
    <row r="26" spans="1:2" ht="21">
      <c r="A26" s="10"/>
      <c r="B26" s="10"/>
    </row>
  </sheetData>
  <sheetProtection/>
  <mergeCells count="1">
    <mergeCell ref="A1:C1"/>
  </mergeCells>
  <printOptions/>
  <pageMargins left="0.7" right="0.7" top="0.75" bottom="0.75" header="0.3" footer="0.3"/>
  <pageSetup fitToHeight="0" fitToWidth="1" orientation="portrait" scale="71" r:id="rId1"/>
  <headerFooter differentOddEven="1">
    <oddHeader>&amp;C&amp;P&amp;N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J324"/>
  <sheetViews>
    <sheetView view="pageBreakPreview" zoomScale="120" zoomScaleSheetLayoutView="120" zoomScalePageLayoutView="0" workbookViewId="0" topLeftCell="B1">
      <pane ySplit="3" topLeftCell="A92" activePane="bottomLeft" state="frozen"/>
      <selection pane="topLeft" activeCell="A1" sqref="A1"/>
      <selection pane="bottomLeft" activeCell="B4" sqref="B4:E4"/>
    </sheetView>
  </sheetViews>
  <sheetFormatPr defaultColWidth="9.140625" defaultRowHeight="15"/>
  <cols>
    <col min="1" max="1" width="14.421875" style="68" hidden="1" customWidth="1"/>
    <col min="2" max="2" width="80.8515625" style="68" customWidth="1"/>
    <col min="3" max="3" width="29.8515625" style="68" bestFit="1" customWidth="1"/>
    <col min="4" max="5" width="21.8515625" style="8" customWidth="1"/>
    <col min="6" max="6" width="12.7109375" style="682" bestFit="1" customWidth="1"/>
    <col min="7" max="7" width="10.28125" style="682" bestFit="1" customWidth="1"/>
    <col min="8" max="10" width="8.7109375" style="682" customWidth="1"/>
  </cols>
  <sheetData>
    <row r="1" spans="1:5" ht="15.75">
      <c r="A1" s="150"/>
      <c r="B1" s="892" t="s">
        <v>284</v>
      </c>
      <c r="C1" s="893"/>
      <c r="D1" s="634"/>
      <c r="E1" s="634"/>
    </row>
    <row r="2" spans="1:5" ht="15.75">
      <c r="A2" s="150"/>
      <c r="B2" s="892" t="s">
        <v>312</v>
      </c>
      <c r="C2" s="893"/>
      <c r="D2" s="634"/>
      <c r="E2" s="634"/>
    </row>
    <row r="3" spans="1:10" s="21" customFormat="1" ht="54" customHeight="1">
      <c r="A3" s="415"/>
      <c r="B3" s="603" t="s">
        <v>490</v>
      </c>
      <c r="C3" s="635" t="s">
        <v>491</v>
      </c>
      <c r="D3" s="740" t="s">
        <v>1069</v>
      </c>
      <c r="E3" s="741" t="s">
        <v>1068</v>
      </c>
      <c r="F3" s="683"/>
      <c r="G3" s="683"/>
      <c r="H3" s="683"/>
      <c r="I3" s="683"/>
      <c r="J3" s="683"/>
    </row>
    <row r="4" spans="1:10" s="146" customFormat="1" ht="15.75">
      <c r="A4" s="171"/>
      <c r="B4" s="895" t="s">
        <v>174</v>
      </c>
      <c r="C4" s="896"/>
      <c r="D4" s="896"/>
      <c r="E4" s="897"/>
      <c r="F4" s="684"/>
      <c r="G4" s="684"/>
      <c r="H4" s="684"/>
      <c r="I4" s="684"/>
      <c r="J4" s="684"/>
    </row>
    <row r="5" spans="1:10" s="146" customFormat="1" ht="15.75">
      <c r="A5" s="171">
        <v>3111112</v>
      </c>
      <c r="B5" s="604" t="s">
        <v>894</v>
      </c>
      <c r="C5" s="638"/>
      <c r="D5" s="145">
        <v>5000000</v>
      </c>
      <c r="E5" s="145">
        <v>5000000</v>
      </c>
      <c r="F5" s="684"/>
      <c r="G5" s="684"/>
      <c r="H5" s="684"/>
      <c r="I5" s="684"/>
      <c r="J5" s="684"/>
    </row>
    <row r="6" spans="1:10" s="146" customFormat="1" ht="15.75">
      <c r="A6" s="206">
        <v>3111004</v>
      </c>
      <c r="B6" s="604" t="s">
        <v>935</v>
      </c>
      <c r="C6" s="638"/>
      <c r="D6" s="145">
        <v>2394924</v>
      </c>
      <c r="E6" s="145"/>
      <c r="F6" s="684"/>
      <c r="G6" s="684"/>
      <c r="H6" s="684"/>
      <c r="I6" s="684"/>
      <c r="J6" s="684"/>
    </row>
    <row r="7" spans="1:10" s="146" customFormat="1" ht="15.75">
      <c r="A7" s="171">
        <v>3110201</v>
      </c>
      <c r="B7" s="604" t="s">
        <v>1003</v>
      </c>
      <c r="C7" s="638" t="s">
        <v>493</v>
      </c>
      <c r="D7" s="145">
        <v>7605076</v>
      </c>
      <c r="E7" s="145">
        <v>20000000</v>
      </c>
      <c r="F7" s="684"/>
      <c r="G7" s="684"/>
      <c r="H7" s="684"/>
      <c r="I7" s="684"/>
      <c r="J7" s="684"/>
    </row>
    <row r="8" spans="1:10" s="146" customFormat="1" ht="15.75">
      <c r="A8" s="173"/>
      <c r="B8" s="605" t="s">
        <v>494</v>
      </c>
      <c r="C8" s="639"/>
      <c r="D8" s="640">
        <f>SUM(D5:D7)</f>
        <v>15000000</v>
      </c>
      <c r="E8" s="640">
        <f>SUM(E5:E7)</f>
        <v>25000000</v>
      </c>
      <c r="F8" s="684"/>
      <c r="G8" s="684"/>
      <c r="H8" s="684"/>
      <c r="I8" s="684"/>
      <c r="J8" s="684"/>
    </row>
    <row r="9" spans="1:10" s="146" customFormat="1" ht="15.75">
      <c r="A9" s="171"/>
      <c r="B9" s="895" t="s">
        <v>495</v>
      </c>
      <c r="C9" s="896"/>
      <c r="D9" s="896"/>
      <c r="E9" s="897"/>
      <c r="F9" s="684"/>
      <c r="G9" s="684"/>
      <c r="H9" s="684"/>
      <c r="I9" s="684"/>
      <c r="J9" s="684"/>
    </row>
    <row r="10" spans="1:10" s="146" customFormat="1" ht="15.75">
      <c r="A10" s="171"/>
      <c r="B10" s="894" t="s">
        <v>496</v>
      </c>
      <c r="C10" s="894"/>
      <c r="D10" s="637"/>
      <c r="E10" s="637"/>
      <c r="F10" s="684"/>
      <c r="G10" s="684"/>
      <c r="H10" s="684"/>
      <c r="I10" s="684"/>
      <c r="J10" s="684"/>
    </row>
    <row r="11" spans="1:10" s="146" customFormat="1" ht="15.75">
      <c r="A11" s="171"/>
      <c r="B11" s="742" t="s">
        <v>497</v>
      </c>
      <c r="C11" s="739"/>
      <c r="D11" s="738">
        <v>15297286</v>
      </c>
      <c r="E11" s="738">
        <v>19618750</v>
      </c>
      <c r="F11" s="684"/>
      <c r="G11" s="684"/>
      <c r="H11" s="684"/>
      <c r="I11" s="684"/>
      <c r="J11" s="684"/>
    </row>
    <row r="12" spans="1:5" ht="15.75">
      <c r="A12" s="151"/>
      <c r="B12" s="607" t="s">
        <v>313</v>
      </c>
      <c r="C12" s="641"/>
      <c r="D12" s="642">
        <f>SUM(D11)</f>
        <v>15297286</v>
      </c>
      <c r="E12" s="642">
        <f>SUM(E11)</f>
        <v>19618750</v>
      </c>
    </row>
    <row r="13" spans="1:10" s="2" customFormat="1" ht="15.75">
      <c r="A13" s="151"/>
      <c r="B13" s="501" t="s">
        <v>1009</v>
      </c>
      <c r="C13" s="643"/>
      <c r="D13" s="644">
        <v>2507569</v>
      </c>
      <c r="E13" s="644"/>
      <c r="F13" s="681"/>
      <c r="G13" s="681"/>
      <c r="H13" s="681"/>
      <c r="I13" s="681"/>
      <c r="J13" s="681"/>
    </row>
    <row r="14" spans="1:10" s="2" customFormat="1" ht="15.75">
      <c r="A14" s="151"/>
      <c r="B14" s="501" t="s">
        <v>1010</v>
      </c>
      <c r="C14" s="643"/>
      <c r="D14" s="644">
        <v>3880762</v>
      </c>
      <c r="E14" s="644"/>
      <c r="F14" s="681"/>
      <c r="G14" s="681"/>
      <c r="H14" s="681"/>
      <c r="I14" s="681"/>
      <c r="J14" s="681"/>
    </row>
    <row r="15" spans="1:10" s="2" customFormat="1" ht="15.75">
      <c r="A15" s="151"/>
      <c r="B15" s="500" t="s">
        <v>1011</v>
      </c>
      <c r="C15" s="643"/>
      <c r="D15" s="644">
        <v>375385</v>
      </c>
      <c r="E15" s="644"/>
      <c r="F15" s="681"/>
      <c r="G15" s="681"/>
      <c r="H15" s="681"/>
      <c r="I15" s="681"/>
      <c r="J15" s="681"/>
    </row>
    <row r="16" spans="1:10" s="502" customFormat="1" ht="15.75">
      <c r="A16" s="151"/>
      <c r="B16" s="500" t="s">
        <v>1022</v>
      </c>
      <c r="C16" s="643"/>
      <c r="D16" s="644">
        <v>527069</v>
      </c>
      <c r="E16" s="644"/>
      <c r="F16" s="681"/>
      <c r="G16" s="681"/>
      <c r="H16" s="681"/>
      <c r="I16" s="681"/>
      <c r="J16" s="681"/>
    </row>
    <row r="17" spans="1:5" ht="15.75">
      <c r="A17" s="151">
        <v>3110202</v>
      </c>
      <c r="B17" s="608" t="s">
        <v>511</v>
      </c>
      <c r="C17" s="620" t="s">
        <v>512</v>
      </c>
      <c r="D17" s="100">
        <v>6000000</v>
      </c>
      <c r="E17" s="100">
        <v>1000000</v>
      </c>
    </row>
    <row r="18" spans="1:5" ht="15.75">
      <c r="A18" s="151">
        <v>3110202</v>
      </c>
      <c r="B18" s="608" t="s">
        <v>511</v>
      </c>
      <c r="C18" s="616" t="s">
        <v>513</v>
      </c>
      <c r="D18" s="100">
        <v>10000000</v>
      </c>
      <c r="E18" s="100">
        <v>6000000</v>
      </c>
    </row>
    <row r="19" spans="1:5" ht="15.75">
      <c r="A19" s="151"/>
      <c r="B19" s="607" t="s">
        <v>313</v>
      </c>
      <c r="C19" s="641"/>
      <c r="D19" s="642">
        <v>23290785</v>
      </c>
      <c r="E19" s="642">
        <v>23290785</v>
      </c>
    </row>
    <row r="20" spans="1:5" ht="15.75">
      <c r="A20" s="151"/>
      <c r="B20" s="882" t="s">
        <v>516</v>
      </c>
      <c r="C20" s="883"/>
      <c r="D20" s="636"/>
      <c r="E20" s="636"/>
    </row>
    <row r="21" spans="1:5" ht="15.75">
      <c r="A21" s="151">
        <v>3110202</v>
      </c>
      <c r="B21" s="606" t="s">
        <v>517</v>
      </c>
      <c r="C21" s="645"/>
      <c r="D21" s="100">
        <v>425000</v>
      </c>
      <c r="E21" s="100">
        <v>827416</v>
      </c>
    </row>
    <row r="22" spans="1:5" ht="15.75">
      <c r="A22" s="151">
        <v>3110202</v>
      </c>
      <c r="B22" s="606" t="s">
        <v>517</v>
      </c>
      <c r="C22" s="645" t="s">
        <v>518</v>
      </c>
      <c r="D22" s="100">
        <v>585270</v>
      </c>
      <c r="E22" s="100"/>
    </row>
    <row r="23" spans="1:5" ht="15.75">
      <c r="A23" s="151">
        <v>3110202</v>
      </c>
      <c r="B23" s="606" t="s">
        <v>517</v>
      </c>
      <c r="C23" s="645" t="s">
        <v>504</v>
      </c>
      <c r="D23" s="100">
        <v>1278221</v>
      </c>
      <c r="E23" s="100"/>
    </row>
    <row r="24" spans="1:5" ht="15.75">
      <c r="A24" s="151">
        <v>3110202</v>
      </c>
      <c r="B24" s="606" t="s">
        <v>517</v>
      </c>
      <c r="C24" s="645" t="s">
        <v>502</v>
      </c>
      <c r="D24" s="100">
        <v>190000</v>
      </c>
      <c r="E24" s="100"/>
    </row>
    <row r="25" spans="1:5" ht="15.75">
      <c r="A25" s="151">
        <v>3110202</v>
      </c>
      <c r="B25" s="606" t="s">
        <v>517</v>
      </c>
      <c r="C25" s="645" t="s">
        <v>520</v>
      </c>
      <c r="D25" s="100">
        <v>1286509</v>
      </c>
      <c r="E25" s="100"/>
    </row>
    <row r="26" spans="1:10" s="392" customFormat="1" ht="15.75">
      <c r="A26" s="151">
        <v>3110202</v>
      </c>
      <c r="B26" s="606" t="s">
        <v>517</v>
      </c>
      <c r="C26" s="645" t="s">
        <v>525</v>
      </c>
      <c r="D26" s="100">
        <v>1000000</v>
      </c>
      <c r="E26" s="100"/>
      <c r="F26" s="682"/>
      <c r="G26" s="682"/>
      <c r="H26" s="682"/>
      <c r="I26" s="682"/>
      <c r="J26" s="682"/>
    </row>
    <row r="27" spans="1:5" ht="15.75">
      <c r="A27" s="151">
        <v>3110202</v>
      </c>
      <c r="B27" s="606" t="s">
        <v>524</v>
      </c>
      <c r="C27" s="645"/>
      <c r="D27" s="100">
        <v>1192344</v>
      </c>
      <c r="E27" s="100"/>
    </row>
    <row r="28" spans="1:5" ht="15.75">
      <c r="A28" s="151">
        <v>3110202</v>
      </c>
      <c r="B28" s="606" t="s">
        <v>517</v>
      </c>
      <c r="C28" s="645" t="s">
        <v>526</v>
      </c>
      <c r="D28" s="100">
        <v>400235</v>
      </c>
      <c r="E28" s="100"/>
    </row>
    <row r="29" spans="1:5" ht="15.75">
      <c r="A29" s="151"/>
      <c r="B29" s="607" t="s">
        <v>313</v>
      </c>
      <c r="C29" s="641"/>
      <c r="D29" s="642">
        <f>SUM(D21:D28)</f>
        <v>6357579</v>
      </c>
      <c r="E29" s="642">
        <f>SUM(E21:E28)</f>
        <v>827416</v>
      </c>
    </row>
    <row r="30" spans="1:5" ht="15.75">
      <c r="A30" s="151"/>
      <c r="B30" s="743" t="s">
        <v>528</v>
      </c>
      <c r="C30" s="744"/>
      <c r="D30" s="745">
        <f>SUM(D29,D19,D12)</f>
        <v>44945650</v>
      </c>
      <c r="E30" s="745">
        <f>SUM(E29,E19,E12)</f>
        <v>43736951</v>
      </c>
    </row>
    <row r="31" spans="1:5" ht="15.75">
      <c r="A31" s="151"/>
      <c r="B31" s="610" t="s">
        <v>211</v>
      </c>
      <c r="C31" s="646"/>
      <c r="D31" s="636"/>
      <c r="E31" s="636"/>
    </row>
    <row r="32" spans="1:5" ht="15.75">
      <c r="A32" s="151">
        <v>3110902</v>
      </c>
      <c r="B32" s="608" t="s">
        <v>514</v>
      </c>
      <c r="C32" s="647"/>
      <c r="D32" s="100">
        <v>3000000</v>
      </c>
      <c r="E32" s="100"/>
    </row>
    <row r="33" spans="1:10" s="748" customFormat="1" ht="15.75">
      <c r="A33" s="746"/>
      <c r="B33" s="743" t="s">
        <v>1070</v>
      </c>
      <c r="C33" s="744"/>
      <c r="D33" s="745">
        <f>SUM(D32:D32)</f>
        <v>3000000</v>
      </c>
      <c r="E33" s="745">
        <f>SUM(E32:E32)</f>
        <v>0</v>
      </c>
      <c r="F33" s="747"/>
      <c r="G33" s="747"/>
      <c r="H33" s="747"/>
      <c r="I33" s="747"/>
      <c r="J33" s="747"/>
    </row>
    <row r="34" spans="1:5" ht="15.75">
      <c r="A34" s="151"/>
      <c r="B34" s="886" t="s">
        <v>277</v>
      </c>
      <c r="C34" s="887"/>
      <c r="D34" s="887"/>
      <c r="E34" s="888"/>
    </row>
    <row r="35" spans="1:5" ht="20.25" customHeight="1">
      <c r="A35" s="151"/>
      <c r="B35" s="824" t="s">
        <v>181</v>
      </c>
      <c r="C35" s="611"/>
      <c r="D35" s="636"/>
      <c r="E35" s="636"/>
    </row>
    <row r="36" spans="1:10" s="21" customFormat="1" ht="22.5" customHeight="1">
      <c r="A36" s="151">
        <v>3111111</v>
      </c>
      <c r="B36" s="612" t="s">
        <v>1025</v>
      </c>
      <c r="C36" s="13"/>
      <c r="D36" s="121">
        <v>5000000</v>
      </c>
      <c r="E36" s="121"/>
      <c r="F36" s="683"/>
      <c r="G36" s="683"/>
      <c r="H36" s="683"/>
      <c r="I36" s="683"/>
      <c r="J36" s="683"/>
    </row>
    <row r="37" spans="1:5" ht="15.75">
      <c r="A37" s="151">
        <v>3111112</v>
      </c>
      <c r="B37" s="606" t="s">
        <v>530</v>
      </c>
      <c r="C37" s="645"/>
      <c r="D37" s="100">
        <v>0</v>
      </c>
      <c r="E37" s="100">
        <v>5000000</v>
      </c>
    </row>
    <row r="38" spans="1:10" s="748" customFormat="1" ht="20.25" customHeight="1">
      <c r="A38" s="746"/>
      <c r="B38" s="749" t="s">
        <v>1071</v>
      </c>
      <c r="C38" s="750"/>
      <c r="D38" s="751">
        <f>SUM(D36:D37)</f>
        <v>5000000</v>
      </c>
      <c r="E38" s="751">
        <f>SUM(E36:E37)</f>
        <v>5000000</v>
      </c>
      <c r="F38" s="747"/>
      <c r="G38" s="747"/>
      <c r="H38" s="747"/>
      <c r="I38" s="747"/>
      <c r="J38" s="747"/>
    </row>
    <row r="39" spans="1:5" ht="15.75">
      <c r="A39" s="151"/>
      <c r="B39" s="884" t="s">
        <v>214</v>
      </c>
      <c r="C39" s="884"/>
      <c r="D39" s="636"/>
      <c r="E39" s="636"/>
    </row>
    <row r="40" spans="1:10" s="21" customFormat="1" ht="47.25">
      <c r="A40" s="156">
        <v>3111111</v>
      </c>
      <c r="B40" s="501" t="s">
        <v>950</v>
      </c>
      <c r="C40" s="649"/>
      <c r="D40" s="121">
        <v>29706718</v>
      </c>
      <c r="E40" s="121">
        <v>70000000</v>
      </c>
      <c r="F40" s="686"/>
      <c r="G40" s="683"/>
      <c r="H40" s="683"/>
      <c r="I40" s="683"/>
      <c r="J40" s="683"/>
    </row>
    <row r="41" spans="1:10" s="21" customFormat="1" ht="40.5" customHeight="1">
      <c r="A41" s="156">
        <v>3111112</v>
      </c>
      <c r="B41" s="400" t="s">
        <v>531</v>
      </c>
      <c r="C41" s="649"/>
      <c r="D41" s="121">
        <v>3200000</v>
      </c>
      <c r="E41" s="121"/>
      <c r="F41" s="683"/>
      <c r="G41" s="683"/>
      <c r="H41" s="683"/>
      <c r="I41" s="683"/>
      <c r="J41" s="683"/>
    </row>
    <row r="42" spans="1:10" s="21" customFormat="1" ht="29.25" customHeight="1">
      <c r="A42" s="156">
        <v>3111112</v>
      </c>
      <c r="B42" s="501" t="s">
        <v>951</v>
      </c>
      <c r="C42" s="649"/>
      <c r="D42" s="121">
        <v>6500000</v>
      </c>
      <c r="E42" s="121"/>
      <c r="F42" s="683">
        <v>680</v>
      </c>
      <c r="G42" s="683">
        <v>5</v>
      </c>
      <c r="H42" s="683">
        <f>F42*G42</f>
        <v>3400</v>
      </c>
      <c r="I42" s="683"/>
      <c r="J42" s="683"/>
    </row>
    <row r="43" spans="1:10" s="21" customFormat="1" ht="15.75">
      <c r="A43" s="156">
        <v>3111111</v>
      </c>
      <c r="B43" s="501" t="s">
        <v>952</v>
      </c>
      <c r="C43" s="649"/>
      <c r="D43" s="121">
        <v>3409999</v>
      </c>
      <c r="E43" s="121"/>
      <c r="F43" s="683">
        <v>70</v>
      </c>
      <c r="G43" s="683"/>
      <c r="H43" s="683">
        <v>3470</v>
      </c>
      <c r="I43" s="683"/>
      <c r="J43" s="683"/>
    </row>
    <row r="44" spans="1:10" s="21" customFormat="1" ht="15.75">
      <c r="A44" s="156">
        <v>3111112</v>
      </c>
      <c r="B44" s="501" t="s">
        <v>953</v>
      </c>
      <c r="C44" s="649"/>
      <c r="D44" s="121">
        <v>2850000</v>
      </c>
      <c r="E44" s="121"/>
      <c r="F44" s="683"/>
      <c r="G44" s="683"/>
      <c r="H44" s="683"/>
      <c r="I44" s="683"/>
      <c r="J44" s="683"/>
    </row>
    <row r="45" spans="1:10" s="21" customFormat="1" ht="31.5">
      <c r="A45" s="156"/>
      <c r="B45" s="501" t="s">
        <v>954</v>
      </c>
      <c r="C45" s="649"/>
      <c r="D45" s="121">
        <v>0</v>
      </c>
      <c r="E45" s="121"/>
      <c r="F45" s="683"/>
      <c r="G45" s="683"/>
      <c r="H45" s="683"/>
      <c r="I45" s="683"/>
      <c r="J45" s="683"/>
    </row>
    <row r="46" spans="1:10" s="21" customFormat="1" ht="31.5">
      <c r="A46" s="156"/>
      <c r="B46" s="501" t="s">
        <v>955</v>
      </c>
      <c r="C46" s="649"/>
      <c r="D46" s="121">
        <v>5400000</v>
      </c>
      <c r="E46" s="121"/>
      <c r="F46" s="683"/>
      <c r="G46" s="683"/>
      <c r="H46" s="683"/>
      <c r="I46" s="683"/>
      <c r="J46" s="683"/>
    </row>
    <row r="47" spans="1:10" s="21" customFormat="1" ht="37.5" customHeight="1">
      <c r="A47" s="156">
        <v>3111112</v>
      </c>
      <c r="B47" s="501" t="s">
        <v>956</v>
      </c>
      <c r="C47" s="649"/>
      <c r="D47" s="121">
        <v>0</v>
      </c>
      <c r="E47" s="121"/>
      <c r="F47" s="683"/>
      <c r="G47" s="683"/>
      <c r="H47" s="683"/>
      <c r="I47" s="683"/>
      <c r="J47" s="683"/>
    </row>
    <row r="48" spans="1:10" s="21" customFormat="1" ht="37.5" customHeight="1">
      <c r="A48" s="156"/>
      <c r="B48" s="501" t="s">
        <v>979</v>
      </c>
      <c r="C48" s="649"/>
      <c r="D48" s="121">
        <v>3911282</v>
      </c>
      <c r="E48" s="121"/>
      <c r="F48" s="683"/>
      <c r="G48" s="683"/>
      <c r="H48" s="683"/>
      <c r="I48" s="683"/>
      <c r="J48" s="683"/>
    </row>
    <row r="49" spans="1:10" s="21" customFormat="1" ht="37.5" customHeight="1">
      <c r="A49" s="156"/>
      <c r="B49" s="501" t="s">
        <v>980</v>
      </c>
      <c r="C49" s="649"/>
      <c r="D49" s="121">
        <v>6932000</v>
      </c>
      <c r="E49" s="121"/>
      <c r="F49" s="683"/>
      <c r="G49" s="683"/>
      <c r="H49" s="683"/>
      <c r="I49" s="683"/>
      <c r="J49" s="683"/>
    </row>
    <row r="50" spans="1:10" s="21" customFormat="1" ht="30" customHeight="1">
      <c r="A50" s="156">
        <v>3111111</v>
      </c>
      <c r="B50" s="501" t="s">
        <v>957</v>
      </c>
      <c r="C50" s="13"/>
      <c r="D50" s="121">
        <v>3385466</v>
      </c>
      <c r="E50" s="121"/>
      <c r="F50" s="683"/>
      <c r="G50" s="683"/>
      <c r="H50" s="683"/>
      <c r="I50" s="683"/>
      <c r="J50" s="683"/>
    </row>
    <row r="51" spans="1:10" s="21" customFormat="1" ht="29.25" customHeight="1">
      <c r="A51" s="156">
        <v>3111111</v>
      </c>
      <c r="B51" s="501" t="s">
        <v>958</v>
      </c>
      <c r="C51" s="13"/>
      <c r="D51" s="121">
        <v>1768726.0000000005</v>
      </c>
      <c r="E51" s="121"/>
      <c r="F51" s="683"/>
      <c r="G51" s="683"/>
      <c r="H51" s="683"/>
      <c r="I51" s="683"/>
      <c r="J51" s="683"/>
    </row>
    <row r="52" spans="1:10" s="507" customFormat="1" ht="29.25" customHeight="1">
      <c r="A52" s="156"/>
      <c r="B52" s="501" t="s">
        <v>1051</v>
      </c>
      <c r="C52" s="13"/>
      <c r="D52" s="121">
        <v>4000000</v>
      </c>
      <c r="E52" s="121"/>
      <c r="F52" s="683"/>
      <c r="G52" s="683"/>
      <c r="H52" s="683"/>
      <c r="I52" s="683"/>
      <c r="J52" s="683"/>
    </row>
    <row r="53" spans="1:10" s="21" customFormat="1" ht="29.25" customHeight="1">
      <c r="A53" s="156">
        <v>3111112</v>
      </c>
      <c r="B53" s="501" t="s">
        <v>959</v>
      </c>
      <c r="C53" s="13"/>
      <c r="D53" s="121">
        <v>3885884</v>
      </c>
      <c r="E53" s="121"/>
      <c r="F53" s="683"/>
      <c r="G53" s="683"/>
      <c r="H53" s="683"/>
      <c r="I53" s="683"/>
      <c r="J53" s="683"/>
    </row>
    <row r="54" spans="1:10" s="748" customFormat="1" ht="19.5" customHeight="1">
      <c r="A54" s="752"/>
      <c r="B54" s="753" t="s">
        <v>1072</v>
      </c>
      <c r="C54" s="754"/>
      <c r="D54" s="751">
        <f>SUM(D40:D53)</f>
        <v>74950075</v>
      </c>
      <c r="E54" s="751">
        <f>SUM(E40:E53)</f>
        <v>70000000</v>
      </c>
      <c r="F54" s="747"/>
      <c r="G54" s="747"/>
      <c r="H54" s="747"/>
      <c r="I54" s="747"/>
      <c r="J54" s="747"/>
    </row>
    <row r="55" spans="1:5" ht="15.75">
      <c r="A55" s="151"/>
      <c r="B55" s="889" t="s">
        <v>532</v>
      </c>
      <c r="C55" s="890"/>
      <c r="D55" s="890"/>
      <c r="E55" s="891"/>
    </row>
    <row r="56" spans="1:5" ht="15.75">
      <c r="A56" s="151"/>
      <c r="B56" s="885" t="s">
        <v>184</v>
      </c>
      <c r="C56" s="885"/>
      <c r="D56" s="636"/>
      <c r="E56" s="636"/>
    </row>
    <row r="57" spans="1:5" ht="15.75">
      <c r="A57" s="151"/>
      <c r="B57" s="898" t="s">
        <v>533</v>
      </c>
      <c r="C57" s="898"/>
      <c r="D57" s="636"/>
      <c r="E57" s="636"/>
    </row>
    <row r="58" spans="1:7" ht="21" customHeight="1">
      <c r="A58" s="151">
        <v>2640503</v>
      </c>
      <c r="B58" s="577" t="s">
        <v>534</v>
      </c>
      <c r="C58" s="202"/>
      <c r="D58" s="100">
        <v>45697438</v>
      </c>
      <c r="E58" s="100">
        <v>16140145</v>
      </c>
      <c r="F58" s="685"/>
      <c r="G58" s="685"/>
    </row>
    <row r="59" spans="1:5" ht="15.75">
      <c r="A59" s="151">
        <v>2630203</v>
      </c>
      <c r="B59" s="401" t="s">
        <v>535</v>
      </c>
      <c r="C59" s="202"/>
      <c r="D59" s="100">
        <v>18451321</v>
      </c>
      <c r="E59" s="100"/>
    </row>
    <row r="60" spans="1:5" ht="15.75">
      <c r="A60" s="151"/>
      <c r="B60" s="614" t="s">
        <v>529</v>
      </c>
      <c r="C60" s="650"/>
      <c r="D60" s="597">
        <f>SUM(D58:D59)</f>
        <v>64148759</v>
      </c>
      <c r="E60" s="597">
        <f>SUM(E58:E59)</f>
        <v>16140145</v>
      </c>
    </row>
    <row r="61" spans="1:5" ht="31.5" customHeight="1">
      <c r="A61" s="151">
        <v>2630203</v>
      </c>
      <c r="B61" s="615" t="s">
        <v>536</v>
      </c>
      <c r="C61" s="202"/>
      <c r="D61" s="100">
        <v>5500000</v>
      </c>
      <c r="E61" s="100">
        <v>5500000</v>
      </c>
    </row>
    <row r="62" spans="1:7" ht="22.5" customHeight="1">
      <c r="A62" s="151">
        <v>2640503</v>
      </c>
      <c r="B62" s="615" t="s">
        <v>537</v>
      </c>
      <c r="C62" s="202"/>
      <c r="D62" s="100">
        <v>18527653</v>
      </c>
      <c r="E62" s="100">
        <f>Revenue!C12</f>
        <v>14185102</v>
      </c>
      <c r="G62" s="685"/>
    </row>
    <row r="63" spans="1:5" ht="15.75">
      <c r="A63" s="151"/>
      <c r="B63" s="614" t="s">
        <v>529</v>
      </c>
      <c r="C63" s="650"/>
      <c r="D63" s="597">
        <f>SUM(D61:D62)</f>
        <v>24027653</v>
      </c>
      <c r="E63" s="597">
        <f>SUM(E61:E62)</f>
        <v>19685102</v>
      </c>
    </row>
    <row r="64" spans="1:5" ht="15.75">
      <c r="A64" s="151"/>
      <c r="B64" s="885" t="s">
        <v>538</v>
      </c>
      <c r="C64" s="885"/>
      <c r="D64" s="596"/>
      <c r="E64" s="596"/>
    </row>
    <row r="65" spans="1:5" ht="15.75">
      <c r="A65" s="151">
        <v>3110599</v>
      </c>
      <c r="B65" s="401" t="s">
        <v>539</v>
      </c>
      <c r="C65" s="401" t="s">
        <v>540</v>
      </c>
      <c r="D65" s="100">
        <v>2500000</v>
      </c>
      <c r="E65" s="100">
        <v>5000000</v>
      </c>
    </row>
    <row r="66" spans="1:5" ht="15.75">
      <c r="A66" s="12">
        <v>3111301</v>
      </c>
      <c r="B66" s="401" t="s">
        <v>919</v>
      </c>
      <c r="C66" s="401"/>
      <c r="D66" s="100">
        <v>13000000</v>
      </c>
      <c r="E66" s="100">
        <v>13000000</v>
      </c>
    </row>
    <row r="67" spans="1:5" ht="15.75">
      <c r="A67" s="151">
        <v>3110599</v>
      </c>
      <c r="B67" s="401" t="s">
        <v>542</v>
      </c>
      <c r="C67" s="401"/>
      <c r="D67" s="100">
        <v>3000000</v>
      </c>
      <c r="E67" s="100"/>
    </row>
    <row r="68" spans="1:10" s="403" customFormat="1" ht="15.75">
      <c r="A68" s="151"/>
      <c r="B68" s="401" t="s">
        <v>1017</v>
      </c>
      <c r="C68" s="401"/>
      <c r="D68" s="100">
        <v>2200000</v>
      </c>
      <c r="E68" s="100"/>
      <c r="F68" s="682"/>
      <c r="G68" s="682"/>
      <c r="H68" s="682"/>
      <c r="I68" s="682"/>
      <c r="J68" s="682"/>
    </row>
    <row r="69" spans="1:5" ht="15.75">
      <c r="A69" s="151">
        <v>3110504</v>
      </c>
      <c r="B69" s="509" t="s">
        <v>888</v>
      </c>
      <c r="C69" s="401"/>
      <c r="D69" s="100">
        <v>6000000</v>
      </c>
      <c r="E69" s="100"/>
    </row>
    <row r="70" spans="1:5" ht="15.75">
      <c r="A70" s="151"/>
      <c r="B70" s="614" t="s">
        <v>529</v>
      </c>
      <c r="C70" s="650"/>
      <c r="D70" s="514">
        <f>SUM(D65:D69)</f>
        <v>26700000</v>
      </c>
      <c r="E70" s="514">
        <f>SUM(E65:E69)</f>
        <v>18000000</v>
      </c>
    </row>
    <row r="71" spans="1:5" ht="15.75">
      <c r="A71" s="151"/>
      <c r="B71" s="885" t="s">
        <v>544</v>
      </c>
      <c r="C71" s="885"/>
      <c r="D71" s="636"/>
      <c r="E71" s="636"/>
    </row>
    <row r="72" spans="1:5" ht="15.75">
      <c r="A72" s="151">
        <v>3110502</v>
      </c>
      <c r="B72" s="401" t="s">
        <v>545</v>
      </c>
      <c r="C72" s="202"/>
      <c r="D72" s="100">
        <v>1000000</v>
      </c>
      <c r="E72" s="100"/>
    </row>
    <row r="73" spans="1:10" s="504" customFormat="1" ht="15.75">
      <c r="A73" s="151"/>
      <c r="B73" s="509" t="s">
        <v>1093</v>
      </c>
      <c r="C73" s="401"/>
      <c r="D73" s="100">
        <v>4479550</v>
      </c>
      <c r="E73" s="100">
        <v>4000000</v>
      </c>
      <c r="F73" s="682"/>
      <c r="G73" s="682"/>
      <c r="H73" s="682"/>
      <c r="I73" s="682"/>
      <c r="J73" s="682"/>
    </row>
    <row r="74" spans="1:5" ht="15.75">
      <c r="A74" s="151">
        <v>3110599</v>
      </c>
      <c r="B74" s="509" t="s">
        <v>547</v>
      </c>
      <c r="C74" s="401"/>
      <c r="D74" s="100">
        <v>1000000</v>
      </c>
      <c r="E74" s="100">
        <v>2000000</v>
      </c>
    </row>
    <row r="75" spans="1:5" ht="15.75">
      <c r="A75" s="151"/>
      <c r="B75" s="614" t="s">
        <v>529</v>
      </c>
      <c r="C75" s="650"/>
      <c r="D75" s="514">
        <f>SUM(D72:D74)</f>
        <v>6479550</v>
      </c>
      <c r="E75" s="514">
        <f>SUM(E72:E74)</f>
        <v>6000000</v>
      </c>
    </row>
    <row r="76" spans="1:5" ht="15.75">
      <c r="A76" s="151"/>
      <c r="B76" s="823" t="s">
        <v>548</v>
      </c>
      <c r="C76" s="618"/>
      <c r="D76" s="636"/>
      <c r="E76" s="636"/>
    </row>
    <row r="77" spans="1:5" ht="22.5" customHeight="1">
      <c r="A77" s="151">
        <v>3110599</v>
      </c>
      <c r="B77" s="578" t="s">
        <v>549</v>
      </c>
      <c r="C77" s="577" t="s">
        <v>550</v>
      </c>
      <c r="D77" s="100">
        <v>2000000</v>
      </c>
      <c r="E77" s="100"/>
    </row>
    <row r="78" spans="1:5" ht="15.75">
      <c r="A78" s="151"/>
      <c r="B78" s="614" t="s">
        <v>529</v>
      </c>
      <c r="C78" s="650"/>
      <c r="D78" s="514">
        <f>SUM(D77:D77)</f>
        <v>2000000</v>
      </c>
      <c r="E78" s="514">
        <f>SUM(E77:E77)</f>
        <v>0</v>
      </c>
    </row>
    <row r="79" spans="1:10" s="748" customFormat="1" ht="15.75">
      <c r="A79" s="746"/>
      <c r="B79" s="755" t="s">
        <v>551</v>
      </c>
      <c r="C79" s="756"/>
      <c r="D79" s="745">
        <f>SUM(D78,D75,D70,D63,D60)</f>
        <v>123355962</v>
      </c>
      <c r="E79" s="745">
        <f>SUM(E78,E75,E70,E63,E60)</f>
        <v>59825247</v>
      </c>
      <c r="F79" s="747"/>
      <c r="G79" s="747"/>
      <c r="H79" s="747"/>
      <c r="I79" s="747"/>
      <c r="J79" s="747"/>
    </row>
    <row r="80" spans="1:5" ht="15.75">
      <c r="A80" s="151"/>
      <c r="B80" s="885" t="s">
        <v>552</v>
      </c>
      <c r="C80" s="885"/>
      <c r="D80" s="636"/>
      <c r="E80" s="636"/>
    </row>
    <row r="81" spans="1:5" ht="15.75">
      <c r="A81" s="151"/>
      <c r="B81" s="885" t="s">
        <v>553</v>
      </c>
      <c r="C81" s="885"/>
      <c r="D81" s="636"/>
      <c r="E81" s="636"/>
    </row>
    <row r="82" spans="1:5" ht="21" customHeight="1">
      <c r="A82" s="151">
        <v>2640503</v>
      </c>
      <c r="B82" s="578" t="s">
        <v>554</v>
      </c>
      <c r="C82" s="202"/>
      <c r="D82" s="121">
        <v>216934776</v>
      </c>
      <c r="E82" s="121">
        <v>198615016</v>
      </c>
    </row>
    <row r="83" spans="1:5" ht="19.5" customHeight="1">
      <c r="A83" s="151">
        <v>2630203</v>
      </c>
      <c r="B83" s="578" t="s">
        <v>555</v>
      </c>
      <c r="C83" s="202"/>
      <c r="D83" s="121">
        <v>6500000</v>
      </c>
      <c r="E83" s="121">
        <v>6500000</v>
      </c>
    </row>
    <row r="84" spans="1:5" ht="15.75">
      <c r="A84" s="151"/>
      <c r="B84" s="614" t="s">
        <v>313</v>
      </c>
      <c r="C84" s="650"/>
      <c r="D84" s="514">
        <f>SUM(D82:D83)</f>
        <v>223434776</v>
      </c>
      <c r="E84" s="514">
        <f>SUM(E82:E83)</f>
        <v>205115016</v>
      </c>
    </row>
    <row r="85" spans="1:10" s="98" customFormat="1" ht="15.75">
      <c r="A85" s="151"/>
      <c r="B85" s="757" t="s">
        <v>1073</v>
      </c>
      <c r="C85" s="202"/>
      <c r="D85" s="100"/>
      <c r="E85" s="100"/>
      <c r="F85" s="682"/>
      <c r="G85" s="682"/>
      <c r="H85" s="682"/>
      <c r="I85" s="682"/>
      <c r="J85" s="682"/>
    </row>
    <row r="86" spans="1:10" s="98" customFormat="1" ht="15.75">
      <c r="A86" s="151"/>
      <c r="B86" s="344" t="s">
        <v>883</v>
      </c>
      <c r="C86" s="202"/>
      <c r="D86" s="100">
        <v>12500000</v>
      </c>
      <c r="E86" s="100"/>
      <c r="F86" s="682"/>
      <c r="G86" s="682"/>
      <c r="H86" s="682"/>
      <c r="I86" s="682"/>
      <c r="J86" s="682"/>
    </row>
    <row r="87" spans="1:10" s="504" customFormat="1" ht="15.75">
      <c r="A87" s="151"/>
      <c r="B87" s="344" t="s">
        <v>884</v>
      </c>
      <c r="C87" s="202"/>
      <c r="D87" s="100">
        <v>5000000</v>
      </c>
      <c r="E87" s="100"/>
      <c r="F87" s="682"/>
      <c r="G87" s="682"/>
      <c r="H87" s="682"/>
      <c r="I87" s="682"/>
      <c r="J87" s="682"/>
    </row>
    <row r="88" spans="1:10" s="504" customFormat="1" ht="15.75">
      <c r="A88" s="151"/>
      <c r="B88" s="614" t="s">
        <v>313</v>
      </c>
      <c r="C88" s="736"/>
      <c r="D88" s="514">
        <f>SUM(D86:D87)</f>
        <v>17500000</v>
      </c>
      <c r="E88" s="514">
        <f>SUM(E86:E87)</f>
        <v>0</v>
      </c>
      <c r="F88" s="682"/>
      <c r="G88" s="682"/>
      <c r="H88" s="682"/>
      <c r="I88" s="682"/>
      <c r="J88" s="682"/>
    </row>
    <row r="89" spans="1:5" ht="15.75">
      <c r="A89" s="151"/>
      <c r="B89" s="885" t="s">
        <v>556</v>
      </c>
      <c r="C89" s="885"/>
      <c r="D89" s="636"/>
      <c r="E89" s="636"/>
    </row>
    <row r="90" spans="1:5" ht="15.75">
      <c r="A90" s="151">
        <v>3110599</v>
      </c>
      <c r="B90" s="401" t="s">
        <v>557</v>
      </c>
      <c r="C90" s="401" t="s">
        <v>493</v>
      </c>
      <c r="D90" s="100">
        <v>4000000</v>
      </c>
      <c r="E90" s="100"/>
    </row>
    <row r="91" spans="1:5" ht="15.75">
      <c r="A91" s="151"/>
      <c r="B91" s="509" t="s">
        <v>885</v>
      </c>
      <c r="C91" s="577"/>
      <c r="D91" s="100">
        <v>6000000</v>
      </c>
      <c r="E91" s="100"/>
    </row>
    <row r="92" spans="1:10" s="392" customFormat="1" ht="15.75">
      <c r="A92" s="151"/>
      <c r="B92" s="509" t="s">
        <v>941</v>
      </c>
      <c r="C92" s="577"/>
      <c r="D92" s="100">
        <v>1500000</v>
      </c>
      <c r="E92" s="100">
        <v>4000000</v>
      </c>
      <c r="F92" s="682"/>
      <c r="G92" s="682"/>
      <c r="H92" s="682"/>
      <c r="I92" s="682"/>
      <c r="J92" s="682"/>
    </row>
    <row r="93" spans="1:5" ht="15.75">
      <c r="A93" s="151"/>
      <c r="B93" s="509" t="s">
        <v>560</v>
      </c>
      <c r="C93" s="577"/>
      <c r="D93" s="100">
        <v>13000000</v>
      </c>
      <c r="E93" s="100">
        <v>10000000</v>
      </c>
    </row>
    <row r="94" spans="1:10" s="504" customFormat="1" ht="15.75">
      <c r="A94" s="151"/>
      <c r="B94" s="509" t="s">
        <v>1118</v>
      </c>
      <c r="C94" s="577"/>
      <c r="D94" s="100"/>
      <c r="E94" s="100">
        <v>5000000</v>
      </c>
      <c r="F94" s="682"/>
      <c r="G94" s="682"/>
      <c r="H94" s="682"/>
      <c r="I94" s="682"/>
      <c r="J94" s="682"/>
    </row>
    <row r="95" spans="1:5" ht="19.5" customHeight="1">
      <c r="A95" s="151">
        <v>3110599</v>
      </c>
      <c r="B95" s="578" t="s">
        <v>561</v>
      </c>
      <c r="C95" s="577" t="s">
        <v>562</v>
      </c>
      <c r="D95" s="100">
        <v>2000000</v>
      </c>
      <c r="E95" s="100"/>
    </row>
    <row r="96" spans="1:5" ht="21" customHeight="1">
      <c r="A96" s="151">
        <v>3110599</v>
      </c>
      <c r="B96" s="578" t="s">
        <v>1092</v>
      </c>
      <c r="C96" s="577" t="s">
        <v>564</v>
      </c>
      <c r="D96" s="100">
        <v>4000000</v>
      </c>
      <c r="E96" s="100">
        <v>4000000</v>
      </c>
    </row>
    <row r="97" spans="1:5" ht="15.75">
      <c r="A97" s="151"/>
      <c r="B97" s="614" t="s">
        <v>529</v>
      </c>
      <c r="C97" s="650"/>
      <c r="D97" s="514">
        <f>SUM(D90:D96)</f>
        <v>30500000</v>
      </c>
      <c r="E97" s="514">
        <f>SUM(E90:E96)</f>
        <v>23000000</v>
      </c>
    </row>
    <row r="98" spans="1:5" ht="15.75">
      <c r="A98" s="151"/>
      <c r="B98" s="885" t="s">
        <v>565</v>
      </c>
      <c r="C98" s="885"/>
      <c r="D98" s="636"/>
      <c r="E98" s="636"/>
    </row>
    <row r="99" spans="1:5" ht="16.5" customHeight="1">
      <c r="A99" s="151"/>
      <c r="B99" s="578" t="s">
        <v>566</v>
      </c>
      <c r="C99" s="652" t="s">
        <v>558</v>
      </c>
      <c r="D99" s="100">
        <v>100000000</v>
      </c>
      <c r="E99" s="100">
        <v>100000000</v>
      </c>
    </row>
    <row r="100" spans="1:5" ht="15.75">
      <c r="A100" s="151"/>
      <c r="B100" s="616" t="s">
        <v>567</v>
      </c>
      <c r="C100" s="652" t="s">
        <v>558</v>
      </c>
      <c r="D100" s="100">
        <v>30000000</v>
      </c>
      <c r="E100" s="100">
        <v>25000000</v>
      </c>
    </row>
    <row r="101" spans="1:5" ht="30" customHeight="1">
      <c r="A101" s="151">
        <v>3110604</v>
      </c>
      <c r="B101" s="616" t="s">
        <v>568</v>
      </c>
      <c r="C101" s="653" t="s">
        <v>569</v>
      </c>
      <c r="D101" s="100">
        <v>5500000</v>
      </c>
      <c r="E101" s="100">
        <v>3000000</v>
      </c>
    </row>
    <row r="102" spans="1:10" s="392" customFormat="1" ht="30" customHeight="1">
      <c r="A102" s="151"/>
      <c r="B102" s="616" t="s">
        <v>568</v>
      </c>
      <c r="C102" s="653" t="s">
        <v>638</v>
      </c>
      <c r="D102" s="100">
        <v>2000000</v>
      </c>
      <c r="E102" s="100">
        <v>3000000</v>
      </c>
      <c r="F102" s="682"/>
      <c r="G102" s="682"/>
      <c r="H102" s="682"/>
      <c r="I102" s="682"/>
      <c r="J102" s="682"/>
    </row>
    <row r="103" spans="1:5" ht="15.75">
      <c r="A103" s="151"/>
      <c r="B103" s="616" t="s">
        <v>886</v>
      </c>
      <c r="C103" s="652" t="s">
        <v>509</v>
      </c>
      <c r="D103" s="100">
        <v>2000000</v>
      </c>
      <c r="E103" s="100"/>
    </row>
    <row r="104" spans="1:10" s="504" customFormat="1" ht="15.75">
      <c r="A104" s="151"/>
      <c r="B104" s="616" t="s">
        <v>1119</v>
      </c>
      <c r="C104" s="652"/>
      <c r="D104" s="100"/>
      <c r="E104" s="100">
        <v>3000000</v>
      </c>
      <c r="F104" s="682"/>
      <c r="G104" s="682"/>
      <c r="H104" s="682"/>
      <c r="I104" s="682"/>
      <c r="J104" s="682"/>
    </row>
    <row r="105" spans="1:5" ht="15.75">
      <c r="A105" s="163"/>
      <c r="B105" s="616" t="s">
        <v>571</v>
      </c>
      <c r="C105" s="652" t="s">
        <v>558</v>
      </c>
      <c r="D105" s="100">
        <v>30000000</v>
      </c>
      <c r="E105" s="100">
        <v>25000000</v>
      </c>
    </row>
    <row r="106" spans="1:5" ht="15.75">
      <c r="A106" s="151"/>
      <c r="B106" s="614" t="s">
        <v>529</v>
      </c>
      <c r="C106" s="650"/>
      <c r="D106" s="514">
        <f>SUM(D99:D105)</f>
        <v>169500000</v>
      </c>
      <c r="E106" s="514">
        <f>SUM(E99:E105)</f>
        <v>159000000</v>
      </c>
    </row>
    <row r="107" spans="1:5" ht="15.75">
      <c r="A107" s="151"/>
      <c r="B107" s="885" t="s">
        <v>572</v>
      </c>
      <c r="C107" s="885"/>
      <c r="D107" s="636"/>
      <c r="E107" s="636"/>
    </row>
    <row r="108" spans="1:5" ht="15.75">
      <c r="A108" s="151">
        <v>3111302</v>
      </c>
      <c r="B108" s="401" t="s">
        <v>573</v>
      </c>
      <c r="C108" s="202"/>
      <c r="D108" s="100">
        <v>10000000</v>
      </c>
      <c r="E108" s="100">
        <v>10000000</v>
      </c>
    </row>
    <row r="109" spans="1:5" ht="15.75">
      <c r="A109" s="151"/>
      <c r="B109" s="401" t="s">
        <v>887</v>
      </c>
      <c r="C109" s="202"/>
      <c r="D109" s="100">
        <v>10000000</v>
      </c>
      <c r="E109" s="100"/>
    </row>
    <row r="110" spans="1:5" ht="15.75">
      <c r="A110" s="151"/>
      <c r="B110" s="614" t="s">
        <v>529</v>
      </c>
      <c r="C110" s="650"/>
      <c r="D110" s="514">
        <f>SUM(D108:D109)</f>
        <v>20000000</v>
      </c>
      <c r="E110" s="514">
        <f>SUM(E108:E109)</f>
        <v>10000000</v>
      </c>
    </row>
    <row r="111" spans="1:5" ht="33" customHeight="1">
      <c r="A111" s="151"/>
      <c r="B111" s="617" t="s">
        <v>575</v>
      </c>
      <c r="C111" s="648"/>
      <c r="D111" s="640">
        <f>SUM(D110,D106,D97,D88,D84)</f>
        <v>460934776</v>
      </c>
      <c r="E111" s="640">
        <f>SUM(E110,E106,E97,E88,E84)</f>
        <v>397115016</v>
      </c>
    </row>
    <row r="112" spans="1:5" ht="15.75">
      <c r="A112" s="151"/>
      <c r="B112" s="889" t="s">
        <v>1074</v>
      </c>
      <c r="C112" s="890"/>
      <c r="D112" s="890"/>
      <c r="E112" s="891"/>
    </row>
    <row r="113" spans="1:10" s="504" customFormat="1" ht="15.75">
      <c r="A113" s="151"/>
      <c r="B113" s="823" t="s">
        <v>186</v>
      </c>
      <c r="C113" s="737"/>
      <c r="D113" s="636"/>
      <c r="E113" s="636"/>
      <c r="F113" s="682"/>
      <c r="G113" s="682"/>
      <c r="H113" s="682"/>
      <c r="I113" s="682"/>
      <c r="J113" s="682"/>
    </row>
    <row r="114" spans="1:5" ht="15.75">
      <c r="A114" s="151"/>
      <c r="B114" s="821" t="s">
        <v>576</v>
      </c>
      <c r="C114" s="618"/>
      <c r="D114" s="636"/>
      <c r="E114" s="636"/>
    </row>
    <row r="115" spans="1:5" ht="19.5" customHeight="1">
      <c r="A115" s="151">
        <v>3111305</v>
      </c>
      <c r="B115" s="619" t="s">
        <v>577</v>
      </c>
      <c r="C115" s="654" t="s">
        <v>578</v>
      </c>
      <c r="D115" s="100">
        <v>9000000</v>
      </c>
      <c r="E115" s="100">
        <v>9000000</v>
      </c>
    </row>
    <row r="116" spans="1:5" ht="15.75">
      <c r="A116" s="151"/>
      <c r="B116" s="619" t="s">
        <v>579</v>
      </c>
      <c r="C116" s="654" t="s">
        <v>578</v>
      </c>
      <c r="D116" s="100">
        <v>9000000</v>
      </c>
      <c r="E116" s="100"/>
    </row>
    <row r="117" spans="1:5" ht="15.75" customHeight="1">
      <c r="A117" s="99" t="s">
        <v>580</v>
      </c>
      <c r="B117" s="505" t="s">
        <v>581</v>
      </c>
      <c r="C117" s="654" t="s">
        <v>493</v>
      </c>
      <c r="D117" s="100">
        <v>4000000</v>
      </c>
      <c r="E117" s="100">
        <v>3500000</v>
      </c>
    </row>
    <row r="118" spans="1:5" ht="15.75">
      <c r="A118" s="151"/>
      <c r="B118" s="614" t="s">
        <v>529</v>
      </c>
      <c r="C118" s="650"/>
      <c r="D118" s="514">
        <f>SUM(D115:D117)</f>
        <v>22000000</v>
      </c>
      <c r="E118" s="514">
        <f>SUM(E115:E117)</f>
        <v>12500000</v>
      </c>
    </row>
    <row r="119" spans="1:5" ht="15.75">
      <c r="A119" s="151"/>
      <c r="B119" s="899" t="s">
        <v>582</v>
      </c>
      <c r="C119" s="900"/>
      <c r="D119" s="636"/>
      <c r="E119" s="636"/>
    </row>
    <row r="120" spans="1:5" ht="15.75">
      <c r="A120" s="151">
        <v>3110599</v>
      </c>
      <c r="B120" s="620" t="s">
        <v>583</v>
      </c>
      <c r="C120" s="620" t="s">
        <v>584</v>
      </c>
      <c r="D120" s="100">
        <v>3000000</v>
      </c>
      <c r="E120" s="100"/>
    </row>
    <row r="121" spans="1:5" ht="15.75">
      <c r="A121" s="151">
        <v>3111011</v>
      </c>
      <c r="B121" s="620" t="s">
        <v>585</v>
      </c>
      <c r="C121" s="620" t="s">
        <v>584</v>
      </c>
      <c r="D121" s="100">
        <v>3000000</v>
      </c>
      <c r="E121" s="100">
        <v>3500000</v>
      </c>
    </row>
    <row r="122" spans="1:5" ht="15.75">
      <c r="A122" s="151"/>
      <c r="B122" s="614" t="s">
        <v>529</v>
      </c>
      <c r="C122" s="650"/>
      <c r="D122" s="514">
        <f>SUM(D120:D121)</f>
        <v>6000000</v>
      </c>
      <c r="E122" s="514">
        <f>SUM(E120:E121)</f>
        <v>3500000</v>
      </c>
    </row>
    <row r="123" spans="1:10" s="748" customFormat="1" ht="15.75">
      <c r="A123" s="746"/>
      <c r="B123" s="755" t="s">
        <v>586</v>
      </c>
      <c r="C123" s="756"/>
      <c r="D123" s="745">
        <f>SUM(D122,D118)</f>
        <v>28000000</v>
      </c>
      <c r="E123" s="745">
        <f>SUM(E122,E118)</f>
        <v>16000000</v>
      </c>
      <c r="F123" s="747"/>
      <c r="G123" s="747"/>
      <c r="H123" s="747"/>
      <c r="I123" s="747"/>
      <c r="J123" s="747"/>
    </row>
    <row r="124" spans="1:5" ht="15.75">
      <c r="A124" s="151"/>
      <c r="B124" s="901"/>
      <c r="C124" s="901"/>
      <c r="D124" s="636"/>
      <c r="E124" s="636"/>
    </row>
    <row r="125" spans="1:10" s="21" customFormat="1" ht="19.5" customHeight="1">
      <c r="A125" s="151"/>
      <c r="B125" s="577" t="s">
        <v>1049</v>
      </c>
      <c r="C125" s="401"/>
      <c r="D125" s="121">
        <v>9000000</v>
      </c>
      <c r="E125" s="121">
        <v>9000000</v>
      </c>
      <c r="F125" s="683"/>
      <c r="G125" s="683"/>
      <c r="H125" s="683"/>
      <c r="I125" s="683"/>
      <c r="J125" s="683"/>
    </row>
    <row r="126" spans="1:5" ht="15.75">
      <c r="A126" s="164" t="s">
        <v>588</v>
      </c>
      <c r="B126" s="401" t="s">
        <v>589</v>
      </c>
      <c r="C126" s="401"/>
      <c r="D126" s="121">
        <v>23000000</v>
      </c>
      <c r="E126" s="121"/>
    </row>
    <row r="127" spans="1:5" ht="15.75">
      <c r="A127" s="151"/>
      <c r="B127" s="614" t="s">
        <v>529</v>
      </c>
      <c r="C127" s="736"/>
      <c r="D127" s="514">
        <f>SUM(D125:D126)</f>
        <v>32000000</v>
      </c>
      <c r="E127" s="514">
        <f>SUM(E125:E126)</f>
        <v>9000000</v>
      </c>
    </row>
    <row r="128" spans="1:5" ht="15.75">
      <c r="A128" s="151">
        <v>3110502</v>
      </c>
      <c r="B128" s="902" t="s">
        <v>590</v>
      </c>
      <c r="C128" s="903"/>
      <c r="D128" s="636"/>
      <c r="E128" s="636"/>
    </row>
    <row r="129" spans="1:5" ht="15.75">
      <c r="A129" s="151">
        <v>3110502</v>
      </c>
      <c r="B129" s="822" t="s">
        <v>590</v>
      </c>
      <c r="C129" s="401"/>
      <c r="D129" s="100">
        <v>51866408</v>
      </c>
      <c r="E129" s="100">
        <v>50000000</v>
      </c>
    </row>
    <row r="130" spans="1:5" ht="15.75">
      <c r="A130" s="164"/>
      <c r="B130" s="632" t="s">
        <v>313</v>
      </c>
      <c r="C130" s="736"/>
      <c r="D130" s="514">
        <f>SUM(D129)</f>
        <v>51866408</v>
      </c>
      <c r="E130" s="514">
        <f>SUM(E129)</f>
        <v>50000000</v>
      </c>
    </row>
    <row r="131" spans="1:10" s="502" customFormat="1" ht="15.75">
      <c r="A131" s="408">
        <v>3110502</v>
      </c>
      <c r="B131" s="509" t="s">
        <v>593</v>
      </c>
      <c r="C131" s="762"/>
      <c r="D131" s="651">
        <v>39233920</v>
      </c>
      <c r="E131" s="651">
        <v>15000000</v>
      </c>
      <c r="F131" s="681"/>
      <c r="G131" s="681"/>
      <c r="H131" s="681"/>
      <c r="I131" s="681"/>
      <c r="J131" s="681"/>
    </row>
    <row r="132" spans="1:5" ht="15.75">
      <c r="A132" s="151"/>
      <c r="B132" s="820" t="s">
        <v>313</v>
      </c>
      <c r="C132" s="668"/>
      <c r="D132" s="514">
        <f>SUM(D131)</f>
        <v>39233920</v>
      </c>
      <c r="E132" s="514">
        <f>SUM(E131)</f>
        <v>15000000</v>
      </c>
    </row>
    <row r="133" spans="1:5" ht="15.75">
      <c r="A133" s="166">
        <v>3110502</v>
      </c>
      <c r="B133" s="499" t="s">
        <v>594</v>
      </c>
      <c r="C133" s="499"/>
      <c r="D133" s="100">
        <v>102469533</v>
      </c>
      <c r="E133" s="100">
        <v>110000000</v>
      </c>
    </row>
    <row r="134" spans="1:5" ht="15.75">
      <c r="A134" s="151"/>
      <c r="B134" s="609" t="s">
        <v>529</v>
      </c>
      <c r="C134" s="655"/>
      <c r="D134" s="514">
        <f>SUM(D133)</f>
        <v>102469533</v>
      </c>
      <c r="E134" s="514">
        <f>SUM(E133)</f>
        <v>110000000</v>
      </c>
    </row>
    <row r="135" spans="1:10" s="760" customFormat="1" ht="15.75">
      <c r="A135" s="758"/>
      <c r="B135" s="613" t="s">
        <v>595</v>
      </c>
      <c r="C135" s="648"/>
      <c r="D135" s="640">
        <f>SUM(D134,D132,D130,D127)</f>
        <v>225569861</v>
      </c>
      <c r="E135" s="640">
        <f>SUM(E134,E132,E130,E127)</f>
        <v>184000000</v>
      </c>
      <c r="F135" s="759"/>
      <c r="G135" s="759"/>
      <c r="H135" s="759"/>
      <c r="I135" s="759"/>
      <c r="J135" s="759"/>
    </row>
    <row r="136" spans="1:5" ht="15.75">
      <c r="A136" s="151"/>
      <c r="B136" s="889" t="s">
        <v>1075</v>
      </c>
      <c r="C136" s="890"/>
      <c r="D136" s="890"/>
      <c r="E136" s="891"/>
    </row>
    <row r="137" spans="1:5" ht="15.75">
      <c r="A137" s="151"/>
      <c r="B137" s="885" t="s">
        <v>596</v>
      </c>
      <c r="C137" s="885"/>
      <c r="D137" s="636"/>
      <c r="E137" s="636"/>
    </row>
    <row r="138" spans="1:10" s="502" customFormat="1" ht="15.75">
      <c r="A138" s="151">
        <v>3110299</v>
      </c>
      <c r="B138" s="509" t="s">
        <v>597</v>
      </c>
      <c r="C138" s="763"/>
      <c r="D138" s="100">
        <v>23566201</v>
      </c>
      <c r="E138" s="100">
        <v>30000000</v>
      </c>
      <c r="F138" s="681"/>
      <c r="G138" s="681"/>
      <c r="H138" s="681"/>
      <c r="I138" s="681"/>
      <c r="J138" s="681"/>
    </row>
    <row r="139" spans="1:10" s="106" customFormat="1" ht="15.75">
      <c r="A139" s="409">
        <v>3110202</v>
      </c>
      <c r="B139" s="820" t="s">
        <v>313</v>
      </c>
      <c r="C139" s="736"/>
      <c r="D139" s="514">
        <f>SUM(D138:D138)</f>
        <v>23566201</v>
      </c>
      <c r="E139" s="514">
        <f>SUM(E138:E138)</f>
        <v>30000000</v>
      </c>
      <c r="F139" s="761"/>
      <c r="G139" s="761"/>
      <c r="H139" s="761"/>
      <c r="I139" s="761"/>
      <c r="J139" s="761"/>
    </row>
    <row r="140" spans="1:5" ht="15.75">
      <c r="A140" s="151">
        <v>3110202</v>
      </c>
      <c r="B140" s="401" t="s">
        <v>975</v>
      </c>
      <c r="C140" s="401"/>
      <c r="D140" s="100">
        <v>8000000</v>
      </c>
      <c r="E140" s="100">
        <v>8000000</v>
      </c>
    </row>
    <row r="141" spans="1:5" ht="15.75">
      <c r="A141" s="151">
        <v>3110202</v>
      </c>
      <c r="B141" s="509" t="s">
        <v>600</v>
      </c>
      <c r="C141" s="401"/>
      <c r="D141" s="100">
        <v>11400000</v>
      </c>
      <c r="E141" s="100">
        <v>10000000</v>
      </c>
    </row>
    <row r="142" spans="1:10" s="106" customFormat="1" ht="15.75">
      <c r="A142" s="409">
        <v>3110202</v>
      </c>
      <c r="B142" s="820" t="s">
        <v>313</v>
      </c>
      <c r="C142" s="736"/>
      <c r="D142" s="514">
        <f>SUM(D140:D141)</f>
        <v>19400000</v>
      </c>
      <c r="E142" s="514">
        <f>SUM(E140:E141)</f>
        <v>18000000</v>
      </c>
      <c r="F142" s="761"/>
      <c r="G142" s="761"/>
      <c r="H142" s="761"/>
      <c r="I142" s="761"/>
      <c r="J142" s="761"/>
    </row>
    <row r="143" spans="1:5" ht="15.75">
      <c r="A143" s="151">
        <v>3110202</v>
      </c>
      <c r="B143" s="885" t="s">
        <v>601</v>
      </c>
      <c r="C143" s="885"/>
      <c r="D143" s="636"/>
      <c r="E143" s="636"/>
    </row>
    <row r="144" spans="1:5" ht="15.75">
      <c r="A144" s="151">
        <v>3110202</v>
      </c>
      <c r="B144" s="821" t="s">
        <v>934</v>
      </c>
      <c r="C144" s="618"/>
      <c r="D144" s="636"/>
      <c r="E144" s="636"/>
    </row>
    <row r="145" spans="1:5" ht="15.75">
      <c r="A145" s="151">
        <v>3110202</v>
      </c>
      <c r="B145" s="401" t="s">
        <v>855</v>
      </c>
      <c r="C145" s="401"/>
      <c r="D145" s="100">
        <v>9315604</v>
      </c>
      <c r="E145" s="100">
        <v>10000000</v>
      </c>
    </row>
    <row r="146" spans="1:5" ht="15.75">
      <c r="A146" s="151"/>
      <c r="B146" s="621" t="s">
        <v>313</v>
      </c>
      <c r="C146" s="621"/>
      <c r="D146" s="598">
        <f>D145</f>
        <v>9315604</v>
      </c>
      <c r="E146" s="598">
        <f>E145</f>
        <v>10000000</v>
      </c>
    </row>
    <row r="147" spans="1:10" s="504" customFormat="1" ht="15.75">
      <c r="A147" s="151"/>
      <c r="B147" s="509" t="s">
        <v>602</v>
      </c>
      <c r="C147" s="763"/>
      <c r="D147" s="651">
        <v>6000000</v>
      </c>
      <c r="E147" s="651">
        <v>10000000</v>
      </c>
      <c r="F147" s="682"/>
      <c r="G147" s="682"/>
      <c r="H147" s="682"/>
      <c r="I147" s="682"/>
      <c r="J147" s="682"/>
    </row>
    <row r="148" spans="1:5" ht="15.75">
      <c r="A148" s="151"/>
      <c r="B148" s="621" t="s">
        <v>313</v>
      </c>
      <c r="C148" s="621"/>
      <c r="D148" s="598"/>
      <c r="E148" s="598">
        <f>E147</f>
        <v>10000000</v>
      </c>
    </row>
    <row r="149" spans="1:5" ht="15.75">
      <c r="A149" s="151"/>
      <c r="B149" s="401" t="s">
        <v>603</v>
      </c>
      <c r="C149" s="401"/>
      <c r="D149" s="100">
        <v>144643298</v>
      </c>
      <c r="E149" s="100">
        <v>70549094</v>
      </c>
    </row>
    <row r="150" spans="1:10" s="504" customFormat="1" ht="15.75">
      <c r="A150" s="151"/>
      <c r="B150" s="401" t="s">
        <v>1120</v>
      </c>
      <c r="C150" s="401"/>
      <c r="D150" s="100"/>
      <c r="E150" s="100">
        <v>37553298</v>
      </c>
      <c r="F150" s="682"/>
      <c r="G150" s="682"/>
      <c r="H150" s="682"/>
      <c r="I150" s="682"/>
      <c r="J150" s="682"/>
    </row>
    <row r="151" spans="1:5" ht="15.75">
      <c r="A151" s="151"/>
      <c r="B151" s="621" t="s">
        <v>313</v>
      </c>
      <c r="C151" s="621"/>
      <c r="D151" s="598">
        <f>SUM(D149)</f>
        <v>144643298</v>
      </c>
      <c r="E151" s="598">
        <f>SUM(E149:E150)</f>
        <v>108102392</v>
      </c>
    </row>
    <row r="152" spans="1:10" s="760" customFormat="1" ht="15.75">
      <c r="A152" s="758"/>
      <c r="B152" s="626" t="s">
        <v>605</v>
      </c>
      <c r="C152" s="659"/>
      <c r="D152" s="640">
        <f>SUM(D151,D148,D146,D142,D139,)</f>
        <v>196925103</v>
      </c>
      <c r="E152" s="640">
        <f>SUM(E151,E148,E146,E142,E139,)</f>
        <v>176102392</v>
      </c>
      <c r="F152" s="759"/>
      <c r="G152" s="759"/>
      <c r="H152" s="759"/>
      <c r="I152" s="759"/>
      <c r="J152" s="759"/>
    </row>
    <row r="153" spans="1:5" ht="15.75">
      <c r="A153" s="151"/>
      <c r="B153" s="889" t="s">
        <v>606</v>
      </c>
      <c r="C153" s="890"/>
      <c r="D153" s="890"/>
      <c r="E153" s="891"/>
    </row>
    <row r="154" spans="1:5" ht="15.75">
      <c r="A154" s="151"/>
      <c r="B154" s="885" t="s">
        <v>188</v>
      </c>
      <c r="C154" s="885"/>
      <c r="D154" s="636"/>
      <c r="E154" s="636"/>
    </row>
    <row r="155" spans="1:5" ht="15.75">
      <c r="A155" s="151">
        <v>3110202</v>
      </c>
      <c r="B155" s="904" t="s">
        <v>607</v>
      </c>
      <c r="C155" s="905"/>
      <c r="D155" s="100"/>
      <c r="E155" s="100"/>
    </row>
    <row r="156" spans="1:5" ht="15.75">
      <c r="A156" s="151">
        <v>3110202</v>
      </c>
      <c r="B156" s="623" t="s">
        <v>608</v>
      </c>
      <c r="C156" s="200"/>
      <c r="D156" s="100">
        <v>3500000</v>
      </c>
      <c r="E156" s="100"/>
    </row>
    <row r="157" spans="1:5" ht="15.75">
      <c r="A157" s="151">
        <v>3110202</v>
      </c>
      <c r="B157" s="623" t="s">
        <v>609</v>
      </c>
      <c r="C157" s="200"/>
      <c r="D157" s="100">
        <v>850000</v>
      </c>
      <c r="E157" s="100"/>
    </row>
    <row r="158" spans="1:5" ht="15.75">
      <c r="A158" s="151">
        <v>3111101</v>
      </c>
      <c r="B158" s="623" t="s">
        <v>610</v>
      </c>
      <c r="C158" s="200"/>
      <c r="D158" s="100">
        <v>2700000</v>
      </c>
      <c r="E158" s="100"/>
    </row>
    <row r="159" spans="1:5" ht="15.75">
      <c r="A159" s="151"/>
      <c r="B159" s="622" t="s">
        <v>313</v>
      </c>
      <c r="C159" s="656"/>
      <c r="D159" s="598">
        <f>SUM(D156:D158)</f>
        <v>7050000</v>
      </c>
      <c r="E159" s="598">
        <f>SUM(E156:E158)</f>
        <v>0</v>
      </c>
    </row>
    <row r="160" spans="1:5" ht="15.75">
      <c r="A160" s="151"/>
      <c r="B160" s="904" t="s">
        <v>611</v>
      </c>
      <c r="C160" s="905"/>
      <c r="D160" s="100"/>
      <c r="E160" s="100"/>
    </row>
    <row r="161" spans="1:5" ht="20.25" customHeight="1">
      <c r="A161" s="151">
        <v>3110202</v>
      </c>
      <c r="B161" s="400" t="s">
        <v>612</v>
      </c>
      <c r="C161" s="13"/>
      <c r="D161" s="100">
        <v>14100000</v>
      </c>
      <c r="E161" s="100"/>
    </row>
    <row r="162" spans="1:5" ht="15.75">
      <c r="A162" s="151">
        <v>3110202</v>
      </c>
      <c r="B162" s="623" t="s">
        <v>608</v>
      </c>
      <c r="C162" s="13"/>
      <c r="D162" s="100">
        <v>3400000</v>
      </c>
      <c r="E162" s="100"/>
    </row>
    <row r="163" spans="1:5" ht="16.5" customHeight="1">
      <c r="A163" s="151">
        <v>3110202</v>
      </c>
      <c r="B163" s="400" t="s">
        <v>613</v>
      </c>
      <c r="C163" s="13"/>
      <c r="D163" s="100">
        <v>400000</v>
      </c>
      <c r="E163" s="100">
        <v>400000</v>
      </c>
    </row>
    <row r="164" spans="1:10" s="504" customFormat="1" ht="16.5" customHeight="1">
      <c r="A164" s="151"/>
      <c r="B164" s="400" t="s">
        <v>1063</v>
      </c>
      <c r="C164" s="13"/>
      <c r="D164" s="100">
        <v>7000000</v>
      </c>
      <c r="E164" s="100">
        <v>7000000</v>
      </c>
      <c r="F164" s="682"/>
      <c r="G164" s="682"/>
      <c r="H164" s="682"/>
      <c r="I164" s="682"/>
      <c r="J164" s="682"/>
    </row>
    <row r="165" spans="1:10" s="504" customFormat="1" ht="16.5" customHeight="1">
      <c r="A165" s="151"/>
      <c r="B165" s="400" t="s">
        <v>547</v>
      </c>
      <c r="C165" s="13"/>
      <c r="D165" s="100">
        <v>1000000</v>
      </c>
      <c r="E165" s="100">
        <v>1000000</v>
      </c>
      <c r="F165" s="682"/>
      <c r="G165" s="682"/>
      <c r="H165" s="682"/>
      <c r="I165" s="682"/>
      <c r="J165" s="682"/>
    </row>
    <row r="166" spans="1:6" ht="15.75">
      <c r="A166" s="151"/>
      <c r="B166" s="302" t="s">
        <v>313</v>
      </c>
      <c r="C166" s="621"/>
      <c r="D166" s="598">
        <f>SUM(D161:D165)</f>
        <v>25900000</v>
      </c>
      <c r="E166" s="598">
        <f>SUM(E161:E165)</f>
        <v>8400000</v>
      </c>
      <c r="F166" s="687"/>
    </row>
    <row r="167" spans="1:5" ht="21.75" customHeight="1">
      <c r="A167" s="151">
        <v>3110202</v>
      </c>
      <c r="B167" s="400" t="s">
        <v>614</v>
      </c>
      <c r="C167" s="13"/>
      <c r="D167" s="100">
        <v>1000000</v>
      </c>
      <c r="E167" s="100">
        <v>44900000</v>
      </c>
    </row>
    <row r="168" spans="1:5" ht="15.75">
      <c r="A168" s="151">
        <v>3110202</v>
      </c>
      <c r="B168" s="27" t="s">
        <v>615</v>
      </c>
      <c r="C168" s="13" t="s">
        <v>506</v>
      </c>
      <c r="D168" s="100">
        <v>700000</v>
      </c>
      <c r="E168" s="100"/>
    </row>
    <row r="169" spans="1:5" ht="15.75">
      <c r="A169" s="151">
        <v>3110202</v>
      </c>
      <c r="B169" s="27" t="s">
        <v>616</v>
      </c>
      <c r="C169" s="13" t="s">
        <v>501</v>
      </c>
      <c r="D169" s="100">
        <v>600000</v>
      </c>
      <c r="E169" s="100"/>
    </row>
    <row r="170" spans="1:5" ht="15.75">
      <c r="A170" s="151">
        <v>3110202</v>
      </c>
      <c r="B170" s="27" t="s">
        <v>617</v>
      </c>
      <c r="C170" s="13" t="s">
        <v>591</v>
      </c>
      <c r="D170" s="100">
        <v>2000000</v>
      </c>
      <c r="E170" s="100"/>
    </row>
    <row r="171" spans="1:5" ht="15.75">
      <c r="A171" s="151">
        <v>3110599</v>
      </c>
      <c r="B171" s="27" t="s">
        <v>618</v>
      </c>
      <c r="C171" s="13" t="s">
        <v>519</v>
      </c>
      <c r="D171" s="100">
        <v>400000</v>
      </c>
      <c r="E171" s="100"/>
    </row>
    <row r="172" spans="1:5" ht="15.75">
      <c r="A172" s="151">
        <v>3110202</v>
      </c>
      <c r="B172" s="27" t="s">
        <v>619</v>
      </c>
      <c r="C172" s="13" t="s">
        <v>592</v>
      </c>
      <c r="D172" s="100">
        <v>400000</v>
      </c>
      <c r="E172" s="100"/>
    </row>
    <row r="173" spans="1:5" ht="15.75">
      <c r="A173" s="151">
        <v>3110202</v>
      </c>
      <c r="B173" s="27" t="s">
        <v>620</v>
      </c>
      <c r="C173" s="13" t="s">
        <v>526</v>
      </c>
      <c r="D173" s="100">
        <v>2000000</v>
      </c>
      <c r="E173" s="100"/>
    </row>
    <row r="174" spans="1:5" ht="15.75">
      <c r="A174" s="151">
        <v>3110202</v>
      </c>
      <c r="B174" s="27" t="s">
        <v>621</v>
      </c>
      <c r="C174" s="13" t="s">
        <v>525</v>
      </c>
      <c r="D174" s="100">
        <v>2000000</v>
      </c>
      <c r="E174" s="100"/>
    </row>
    <row r="175" spans="1:10" s="392" customFormat="1" ht="15.75">
      <c r="A175" s="151">
        <v>3110202</v>
      </c>
      <c r="B175" s="27" t="s">
        <v>972</v>
      </c>
      <c r="C175" s="657" t="s">
        <v>500</v>
      </c>
      <c r="D175" s="100">
        <v>1000000</v>
      </c>
      <c r="E175" s="100"/>
      <c r="F175" s="682"/>
      <c r="G175" s="682"/>
      <c r="H175" s="682"/>
      <c r="I175" s="682"/>
      <c r="J175" s="682"/>
    </row>
    <row r="176" spans="1:5" ht="15.75">
      <c r="A176" s="151">
        <v>3110202</v>
      </c>
      <c r="B176" s="27" t="s">
        <v>622</v>
      </c>
      <c r="C176" s="658" t="s">
        <v>505</v>
      </c>
      <c r="D176" s="100">
        <v>1100000</v>
      </c>
      <c r="E176" s="100"/>
    </row>
    <row r="177" spans="1:5" ht="15.75">
      <c r="A177" s="151">
        <v>3110202</v>
      </c>
      <c r="B177" s="27" t="s">
        <v>623</v>
      </c>
      <c r="C177" s="13" t="s">
        <v>504</v>
      </c>
      <c r="D177" s="100">
        <v>850000</v>
      </c>
      <c r="E177" s="100"/>
    </row>
    <row r="178" spans="1:5" ht="15.75">
      <c r="A178" s="151">
        <v>3110202</v>
      </c>
      <c r="B178" s="27" t="s">
        <v>881</v>
      </c>
      <c r="C178" s="13" t="s">
        <v>519</v>
      </c>
      <c r="D178" s="100">
        <v>250000</v>
      </c>
      <c r="E178" s="100"/>
    </row>
    <row r="179" spans="1:5" ht="15.75">
      <c r="A179" s="151">
        <v>3110202</v>
      </c>
      <c r="B179" s="27" t="s">
        <v>624</v>
      </c>
      <c r="C179" s="13" t="s">
        <v>523</v>
      </c>
      <c r="D179" s="100">
        <v>370000</v>
      </c>
      <c r="E179" s="100"/>
    </row>
    <row r="180" spans="1:5" ht="15.75">
      <c r="A180" s="151">
        <v>3110202</v>
      </c>
      <c r="B180" s="27" t="s">
        <v>625</v>
      </c>
      <c r="C180" s="13" t="s">
        <v>503</v>
      </c>
      <c r="D180" s="100">
        <v>700000</v>
      </c>
      <c r="E180" s="100"/>
    </row>
    <row r="181" spans="1:5" ht="15.75">
      <c r="A181" s="151">
        <v>3110202</v>
      </c>
      <c r="B181" s="27" t="s">
        <v>626</v>
      </c>
      <c r="C181" s="13" t="s">
        <v>522</v>
      </c>
      <c r="D181" s="100">
        <v>1500000</v>
      </c>
      <c r="E181" s="100"/>
    </row>
    <row r="182" spans="1:5" ht="15.75">
      <c r="A182" s="151">
        <v>3110202</v>
      </c>
      <c r="B182" s="27" t="s">
        <v>627</v>
      </c>
      <c r="C182" s="13" t="s">
        <v>526</v>
      </c>
      <c r="D182" s="100">
        <v>1500000</v>
      </c>
      <c r="E182" s="100"/>
    </row>
    <row r="183" spans="1:5" ht="15.75">
      <c r="A183" s="151">
        <v>3110202</v>
      </c>
      <c r="B183" s="27" t="s">
        <v>628</v>
      </c>
      <c r="C183" s="13" t="s">
        <v>629</v>
      </c>
      <c r="D183" s="100">
        <v>1000000</v>
      </c>
      <c r="E183" s="100"/>
    </row>
    <row r="184" spans="1:5" ht="15.75">
      <c r="A184" s="151">
        <v>3110202</v>
      </c>
      <c r="B184" s="27" t="s">
        <v>630</v>
      </c>
      <c r="C184" s="13" t="s">
        <v>592</v>
      </c>
      <c r="D184" s="100">
        <v>2000000</v>
      </c>
      <c r="E184" s="100"/>
    </row>
    <row r="185" spans="1:10" s="392" customFormat="1" ht="15.75">
      <c r="A185" s="151"/>
      <c r="B185" s="27" t="s">
        <v>949</v>
      </c>
      <c r="C185" s="13" t="s">
        <v>504</v>
      </c>
      <c r="D185" s="100">
        <v>2000000</v>
      </c>
      <c r="E185" s="100"/>
      <c r="F185" s="682"/>
      <c r="G185" s="682"/>
      <c r="H185" s="682"/>
      <c r="I185" s="682"/>
      <c r="J185" s="682"/>
    </row>
    <row r="186" spans="1:5" ht="15.75">
      <c r="A186" s="151">
        <v>3110202</v>
      </c>
      <c r="B186" s="27" t="s">
        <v>631</v>
      </c>
      <c r="C186" s="13" t="s">
        <v>598</v>
      </c>
      <c r="D186" s="100">
        <v>2000000</v>
      </c>
      <c r="E186" s="100"/>
    </row>
    <row r="187" spans="1:10" s="392" customFormat="1" ht="15.75">
      <c r="A187" s="151"/>
      <c r="B187" s="27" t="s">
        <v>976</v>
      </c>
      <c r="C187" s="13" t="s">
        <v>508</v>
      </c>
      <c r="D187" s="100">
        <v>1000000</v>
      </c>
      <c r="E187" s="100"/>
      <c r="F187" s="682"/>
      <c r="G187" s="682"/>
      <c r="H187" s="682"/>
      <c r="I187" s="682"/>
      <c r="J187" s="682"/>
    </row>
    <row r="188" spans="1:5" ht="15.75">
      <c r="A188" s="151">
        <v>3110202</v>
      </c>
      <c r="B188" s="27" t="s">
        <v>632</v>
      </c>
      <c r="C188" s="13"/>
      <c r="D188" s="100">
        <v>3000000</v>
      </c>
      <c r="E188" s="100"/>
    </row>
    <row r="189" spans="1:10" s="392" customFormat="1" ht="15.75">
      <c r="A189" s="151"/>
      <c r="B189" s="27" t="s">
        <v>960</v>
      </c>
      <c r="C189" s="13"/>
      <c r="D189" s="100">
        <v>1500000</v>
      </c>
      <c r="E189" s="100"/>
      <c r="F189" s="682"/>
      <c r="G189" s="682"/>
      <c r="H189" s="682"/>
      <c r="I189" s="682"/>
      <c r="J189" s="682"/>
    </row>
    <row r="190" spans="1:10" s="98" customFormat="1" ht="15.75">
      <c r="A190" s="151">
        <v>3110202</v>
      </c>
      <c r="B190" s="27" t="s">
        <v>890</v>
      </c>
      <c r="C190" s="13"/>
      <c r="D190" s="100">
        <v>1000000</v>
      </c>
      <c r="E190" s="100"/>
      <c r="F190" s="682"/>
      <c r="G190" s="682"/>
      <c r="H190" s="682"/>
      <c r="I190" s="682"/>
      <c r="J190" s="682"/>
    </row>
    <row r="191" spans="1:10" s="504" customFormat="1" ht="15.75">
      <c r="A191" s="151"/>
      <c r="B191" s="27" t="s">
        <v>1027</v>
      </c>
      <c r="C191" s="13" t="s">
        <v>502</v>
      </c>
      <c r="D191" s="100">
        <v>2000000</v>
      </c>
      <c r="E191" s="100"/>
      <c r="F191" s="682"/>
      <c r="G191" s="682"/>
      <c r="H191" s="682"/>
      <c r="I191" s="682"/>
      <c r="J191" s="682"/>
    </row>
    <row r="192" spans="1:10" s="98" customFormat="1" ht="15.75">
      <c r="A192" s="151">
        <v>3110202</v>
      </c>
      <c r="B192" s="27" t="s">
        <v>889</v>
      </c>
      <c r="C192" s="13"/>
      <c r="D192" s="100">
        <v>1000000</v>
      </c>
      <c r="E192" s="100"/>
      <c r="F192" s="682"/>
      <c r="G192" s="682"/>
      <c r="H192" s="682"/>
      <c r="I192" s="682"/>
      <c r="J192" s="682"/>
    </row>
    <row r="193" spans="1:10" s="98" customFormat="1" ht="15.75">
      <c r="A193" s="151">
        <v>3110202</v>
      </c>
      <c r="B193" s="27" t="s">
        <v>1052</v>
      </c>
      <c r="C193" s="13" t="s">
        <v>974</v>
      </c>
      <c r="D193" s="100">
        <v>1000000</v>
      </c>
      <c r="E193" s="100"/>
      <c r="F193" s="682"/>
      <c r="G193" s="682"/>
      <c r="H193" s="682"/>
      <c r="I193" s="682"/>
      <c r="J193" s="682"/>
    </row>
    <row r="194" spans="1:10" s="504" customFormat="1" ht="15.75">
      <c r="A194" s="151"/>
      <c r="B194" s="27" t="s">
        <v>1053</v>
      </c>
      <c r="C194" s="13" t="s">
        <v>974</v>
      </c>
      <c r="D194" s="100">
        <v>500000</v>
      </c>
      <c r="E194" s="100"/>
      <c r="F194" s="682"/>
      <c r="G194" s="682"/>
      <c r="H194" s="682"/>
      <c r="I194" s="682"/>
      <c r="J194" s="682"/>
    </row>
    <row r="195" spans="1:10" s="98" customFormat="1" ht="15.75">
      <c r="A195" s="151"/>
      <c r="B195" s="27" t="s">
        <v>891</v>
      </c>
      <c r="C195" s="13"/>
      <c r="D195" s="100">
        <v>4000000</v>
      </c>
      <c r="E195" s="100"/>
      <c r="F195" s="682"/>
      <c r="G195" s="682"/>
      <c r="H195" s="682"/>
      <c r="I195" s="682"/>
      <c r="J195" s="682"/>
    </row>
    <row r="196" spans="1:10" s="98" customFormat="1" ht="15.75">
      <c r="A196" s="151">
        <v>3110202</v>
      </c>
      <c r="B196" s="27" t="s">
        <v>892</v>
      </c>
      <c r="C196" s="13"/>
      <c r="D196" s="100">
        <v>10000000</v>
      </c>
      <c r="E196" s="100"/>
      <c r="F196" s="682"/>
      <c r="G196" s="682"/>
      <c r="H196" s="682"/>
      <c r="I196" s="682"/>
      <c r="J196" s="682"/>
    </row>
    <row r="197" spans="1:10" s="504" customFormat="1" ht="15.75">
      <c r="A197" s="151"/>
      <c r="B197" s="27" t="s">
        <v>1054</v>
      </c>
      <c r="C197" s="13" t="s">
        <v>521</v>
      </c>
      <c r="D197" s="100">
        <v>1000000</v>
      </c>
      <c r="E197" s="100"/>
      <c r="F197" s="682"/>
      <c r="G197" s="682"/>
      <c r="H197" s="682"/>
      <c r="I197" s="682"/>
      <c r="J197" s="682"/>
    </row>
    <row r="198" spans="1:10" s="504" customFormat="1" ht="15.75">
      <c r="A198" s="151"/>
      <c r="B198" s="27" t="s">
        <v>1055</v>
      </c>
      <c r="C198" s="13" t="s">
        <v>507</v>
      </c>
      <c r="D198" s="100">
        <v>1000000</v>
      </c>
      <c r="E198" s="100"/>
      <c r="F198" s="682"/>
      <c r="G198" s="682"/>
      <c r="H198" s="682"/>
      <c r="I198" s="682"/>
      <c r="J198" s="682"/>
    </row>
    <row r="199" spans="1:10" s="403" customFormat="1" ht="15.75">
      <c r="A199" s="151"/>
      <c r="B199" s="27" t="s">
        <v>1034</v>
      </c>
      <c r="C199" s="13"/>
      <c r="D199" s="100">
        <v>1000000</v>
      </c>
      <c r="E199" s="100"/>
      <c r="F199" s="682"/>
      <c r="G199" s="682"/>
      <c r="H199" s="682"/>
      <c r="I199" s="682"/>
      <c r="J199" s="682"/>
    </row>
    <row r="200" spans="1:10" s="504" customFormat="1" ht="15.75">
      <c r="A200" s="151"/>
      <c r="B200" s="27" t="s">
        <v>1033</v>
      </c>
      <c r="C200" s="13"/>
      <c r="D200" s="100">
        <v>1000000</v>
      </c>
      <c r="E200" s="100"/>
      <c r="F200" s="682"/>
      <c r="G200" s="682"/>
      <c r="H200" s="682"/>
      <c r="I200" s="682"/>
      <c r="J200" s="682"/>
    </row>
    <row r="201" spans="1:10" s="504" customFormat="1" ht="15.75">
      <c r="A201" s="151"/>
      <c r="B201" s="27" t="s">
        <v>1043</v>
      </c>
      <c r="C201" s="13"/>
      <c r="D201" s="100">
        <v>1500000</v>
      </c>
      <c r="E201" s="100"/>
      <c r="F201" s="682"/>
      <c r="G201" s="682"/>
      <c r="H201" s="682"/>
      <c r="I201" s="682"/>
      <c r="J201" s="682"/>
    </row>
    <row r="202" spans="1:10" s="98" customFormat="1" ht="15.75">
      <c r="A202" s="151"/>
      <c r="B202" s="27" t="s">
        <v>893</v>
      </c>
      <c r="C202" s="13"/>
      <c r="D202" s="100">
        <v>8000000</v>
      </c>
      <c r="E202" s="100"/>
      <c r="F202" s="682"/>
      <c r="G202" s="682"/>
      <c r="H202" s="682"/>
      <c r="I202" s="682"/>
      <c r="J202" s="682"/>
    </row>
    <row r="203" spans="1:10" s="403" customFormat="1" ht="15.75">
      <c r="A203" s="395"/>
      <c r="B203" s="32" t="s">
        <v>313</v>
      </c>
      <c r="C203" s="621"/>
      <c r="D203" s="601">
        <f>SUM(D167:D202)</f>
        <v>61870000</v>
      </c>
      <c r="E203" s="601">
        <f>SUM(E167:E202)</f>
        <v>44900000</v>
      </c>
      <c r="F203" s="682"/>
      <c r="G203" s="682"/>
      <c r="H203" s="682"/>
      <c r="I203" s="682"/>
      <c r="J203" s="682"/>
    </row>
    <row r="204" spans="1:7" ht="15.75">
      <c r="A204" s="151"/>
      <c r="B204" s="27" t="s">
        <v>382</v>
      </c>
      <c r="C204" s="13"/>
      <c r="D204" s="100">
        <v>329635783</v>
      </c>
      <c r="E204" s="100">
        <v>329635783</v>
      </c>
      <c r="G204" s="685"/>
    </row>
    <row r="205" spans="1:10" s="504" customFormat="1" ht="15.75">
      <c r="A205" s="151"/>
      <c r="B205" s="27" t="s">
        <v>610</v>
      </c>
      <c r="C205" s="13"/>
      <c r="D205" s="100">
        <v>20000000</v>
      </c>
      <c r="E205" s="100">
        <v>15000000</v>
      </c>
      <c r="F205" s="682"/>
      <c r="G205" s="685"/>
      <c r="H205" s="682"/>
      <c r="I205" s="682"/>
      <c r="J205" s="682"/>
    </row>
    <row r="206" spans="1:10" s="504" customFormat="1" ht="15.75">
      <c r="A206" s="151"/>
      <c r="B206" s="27" t="s">
        <v>633</v>
      </c>
      <c r="C206" s="13"/>
      <c r="D206" s="100">
        <v>8000000</v>
      </c>
      <c r="E206" s="100">
        <v>8000000</v>
      </c>
      <c r="F206" s="682"/>
      <c r="G206" s="685"/>
      <c r="H206" s="682"/>
      <c r="I206" s="682"/>
      <c r="J206" s="682"/>
    </row>
    <row r="207" spans="1:10" s="504" customFormat="1" ht="15.75">
      <c r="A207" s="151"/>
      <c r="B207" s="27" t="s">
        <v>634</v>
      </c>
      <c r="C207" s="13"/>
      <c r="D207" s="100">
        <v>131914894</v>
      </c>
      <c r="E207" s="100">
        <v>131914894</v>
      </c>
      <c r="F207" s="682"/>
      <c r="G207" s="685"/>
      <c r="H207" s="682"/>
      <c r="I207" s="682"/>
      <c r="J207" s="682"/>
    </row>
    <row r="208" spans="1:10" s="403" customFormat="1" ht="15.75">
      <c r="A208" s="395"/>
      <c r="B208" s="32" t="s">
        <v>313</v>
      </c>
      <c r="C208" s="621"/>
      <c r="D208" s="601">
        <f>SUM(D204:D207)</f>
        <v>489550677</v>
      </c>
      <c r="E208" s="601">
        <f>SUM(E204:E207)</f>
        <v>484550677</v>
      </c>
      <c r="F208" s="682"/>
      <c r="G208" s="682"/>
      <c r="H208" s="682"/>
      <c r="I208" s="682"/>
      <c r="J208" s="682"/>
    </row>
    <row r="209" spans="1:10" s="403" customFormat="1" ht="15.75">
      <c r="A209" s="151"/>
      <c r="B209" s="177" t="s">
        <v>981</v>
      </c>
      <c r="C209" s="13"/>
      <c r="D209" s="100"/>
      <c r="E209" s="100"/>
      <c r="F209" s="682"/>
      <c r="G209" s="682"/>
      <c r="H209" s="682"/>
      <c r="I209" s="682"/>
      <c r="J209" s="682"/>
    </row>
    <row r="210" spans="1:10" s="403" customFormat="1" ht="31.5" customHeight="1">
      <c r="A210" s="151"/>
      <c r="B210" s="624" t="s">
        <v>982</v>
      </c>
      <c r="C210" s="13"/>
      <c r="D210" s="100">
        <v>32093865</v>
      </c>
      <c r="E210" s="100">
        <v>417572254</v>
      </c>
      <c r="F210" s="682"/>
      <c r="G210" s="682"/>
      <c r="H210" s="682"/>
      <c r="I210" s="682"/>
      <c r="J210" s="682"/>
    </row>
    <row r="211" spans="1:10" s="403" customFormat="1" ht="18" customHeight="1">
      <c r="A211" s="151"/>
      <c r="B211" s="624" t="s">
        <v>993</v>
      </c>
      <c r="C211" s="13"/>
      <c r="D211" s="100">
        <v>267566626</v>
      </c>
      <c r="E211" s="100">
        <v>114572254</v>
      </c>
      <c r="F211" s="682"/>
      <c r="G211" s="682"/>
      <c r="H211" s="682"/>
      <c r="I211" s="682"/>
      <c r="J211" s="682"/>
    </row>
    <row r="212" spans="1:10" s="403" customFormat="1" ht="15.75">
      <c r="A212" s="151"/>
      <c r="B212" s="625" t="s">
        <v>994</v>
      </c>
      <c r="C212" s="13"/>
      <c r="D212" s="100">
        <v>127117995</v>
      </c>
      <c r="E212" s="100"/>
      <c r="F212" s="682"/>
      <c r="G212" s="682"/>
      <c r="H212" s="682"/>
      <c r="I212" s="682"/>
      <c r="J212" s="682"/>
    </row>
    <row r="213" spans="1:10" s="403" customFormat="1" ht="15.75">
      <c r="A213" s="151"/>
      <c r="B213" s="625" t="s">
        <v>983</v>
      </c>
      <c r="C213" s="13"/>
      <c r="D213" s="100">
        <v>20006930</v>
      </c>
      <c r="E213" s="100"/>
      <c r="F213" s="682"/>
      <c r="G213" s="682"/>
      <c r="H213" s="682"/>
      <c r="I213" s="682"/>
      <c r="J213" s="682"/>
    </row>
    <row r="214" spans="1:10" s="403" customFormat="1" ht="15.75">
      <c r="A214" s="151"/>
      <c r="B214" s="625" t="s">
        <v>610</v>
      </c>
      <c r="C214" s="13"/>
      <c r="D214" s="100">
        <v>4000000</v>
      </c>
      <c r="E214" s="100"/>
      <c r="F214" s="682"/>
      <c r="G214" s="682"/>
      <c r="H214" s="682"/>
      <c r="I214" s="682"/>
      <c r="J214" s="682"/>
    </row>
    <row r="215" spans="1:10" s="403" customFormat="1" ht="15.75">
      <c r="A215" s="151"/>
      <c r="B215" s="625" t="s">
        <v>991</v>
      </c>
      <c r="C215" s="13"/>
      <c r="D215" s="100">
        <v>4026500</v>
      </c>
      <c r="E215" s="100"/>
      <c r="F215" s="682"/>
      <c r="G215" s="682"/>
      <c r="H215" s="682"/>
      <c r="I215" s="682"/>
      <c r="J215" s="682"/>
    </row>
    <row r="216" spans="1:10" s="403" customFormat="1" ht="15.75">
      <c r="A216" s="151"/>
      <c r="B216" s="625" t="s">
        <v>992</v>
      </c>
      <c r="C216" s="13"/>
      <c r="D216" s="100">
        <v>22177000</v>
      </c>
      <c r="E216" s="100"/>
      <c r="F216" s="682"/>
      <c r="G216" s="682"/>
      <c r="H216" s="682"/>
      <c r="I216" s="682"/>
      <c r="J216" s="682"/>
    </row>
    <row r="217" spans="1:10" s="403" customFormat="1" ht="15.75">
      <c r="A217" s="151"/>
      <c r="B217" s="625" t="s">
        <v>984</v>
      </c>
      <c r="C217" s="13"/>
      <c r="D217" s="100">
        <v>4000000</v>
      </c>
      <c r="E217" s="100"/>
      <c r="F217" s="682"/>
      <c r="G217" s="682"/>
      <c r="H217" s="682"/>
      <c r="I217" s="682"/>
      <c r="J217" s="682"/>
    </row>
    <row r="218" spans="1:10" s="403" customFormat="1" ht="15.75">
      <c r="A218" s="151"/>
      <c r="B218" s="625" t="s">
        <v>985</v>
      </c>
      <c r="C218" s="13"/>
      <c r="D218" s="100">
        <v>6801145</v>
      </c>
      <c r="E218" s="100"/>
      <c r="F218" s="682"/>
      <c r="G218" s="682"/>
      <c r="H218" s="682"/>
      <c r="I218" s="682"/>
      <c r="J218" s="682"/>
    </row>
    <row r="219" spans="1:10" s="403" customFormat="1" ht="15.75">
      <c r="A219" s="151"/>
      <c r="B219" s="625" t="s">
        <v>986</v>
      </c>
      <c r="C219" s="13"/>
      <c r="D219" s="100">
        <v>12318775</v>
      </c>
      <c r="E219" s="100"/>
      <c r="F219" s="682"/>
      <c r="G219" s="682"/>
      <c r="H219" s="682"/>
      <c r="I219" s="682"/>
      <c r="J219" s="682"/>
    </row>
    <row r="220" spans="1:10" s="403" customFormat="1" ht="15.75">
      <c r="A220" s="151"/>
      <c r="B220" s="625" t="s">
        <v>987</v>
      </c>
      <c r="C220" s="13"/>
      <c r="D220" s="100">
        <v>5850700</v>
      </c>
      <c r="E220" s="100"/>
      <c r="F220" s="682"/>
      <c r="G220" s="682"/>
      <c r="H220" s="682"/>
      <c r="I220" s="682"/>
      <c r="J220" s="682"/>
    </row>
    <row r="221" spans="1:10" s="403" customFormat="1" ht="15.75">
      <c r="A221" s="151"/>
      <c r="B221" s="625" t="s">
        <v>988</v>
      </c>
      <c r="C221" s="13"/>
      <c r="D221" s="100">
        <v>8917920</v>
      </c>
      <c r="E221" s="100"/>
      <c r="F221" s="682"/>
      <c r="G221" s="682"/>
      <c r="H221" s="682"/>
      <c r="I221" s="682"/>
      <c r="J221" s="682"/>
    </row>
    <row r="222" spans="1:10" s="403" customFormat="1" ht="15.75">
      <c r="A222" s="395"/>
      <c r="B222" s="32" t="s">
        <v>313</v>
      </c>
      <c r="C222" s="621"/>
      <c r="D222" s="601">
        <f>SUM(D210:D221)</f>
        <v>514877456</v>
      </c>
      <c r="E222" s="601">
        <f>SUM(E210:E221)</f>
        <v>532144508</v>
      </c>
      <c r="F222" s="682"/>
      <c r="G222" s="682"/>
      <c r="H222" s="682"/>
      <c r="I222" s="682"/>
      <c r="J222" s="682"/>
    </row>
    <row r="223" spans="1:5" ht="15.75">
      <c r="A223" s="409"/>
      <c r="B223" s="614" t="s">
        <v>313</v>
      </c>
      <c r="C223" s="650"/>
      <c r="D223" s="514">
        <f>SUM(D222,D208,D203,D166,D159)</f>
        <v>1099248133</v>
      </c>
      <c r="E223" s="514">
        <f>SUM(E222,E208,E203,E166,E159)</f>
        <v>1069995185</v>
      </c>
    </row>
    <row r="224" spans="1:5" ht="15.75">
      <c r="A224" s="151"/>
      <c r="B224" s="889" t="s">
        <v>636</v>
      </c>
      <c r="C224" s="890"/>
      <c r="D224" s="890"/>
      <c r="E224" s="891"/>
    </row>
    <row r="225" spans="1:5" ht="19.5" customHeight="1">
      <c r="A225" s="151">
        <v>3111402</v>
      </c>
      <c r="B225" s="577" t="s">
        <v>637</v>
      </c>
      <c r="C225" s="401" t="s">
        <v>638</v>
      </c>
      <c r="D225" s="100">
        <v>20000000</v>
      </c>
      <c r="E225" s="100"/>
    </row>
    <row r="226" spans="1:5" ht="18" customHeight="1">
      <c r="A226" s="151">
        <v>3111402</v>
      </c>
      <c r="B226" s="400" t="s">
        <v>639</v>
      </c>
      <c r="C226" s="158" t="s">
        <v>592</v>
      </c>
      <c r="D226" s="100">
        <v>7000000</v>
      </c>
      <c r="E226" s="100">
        <v>2500000</v>
      </c>
    </row>
    <row r="227" spans="1:5" ht="19.5" customHeight="1">
      <c r="A227" s="151">
        <v>3111402</v>
      </c>
      <c r="B227" s="400" t="s">
        <v>639</v>
      </c>
      <c r="C227" s="158" t="s">
        <v>540</v>
      </c>
      <c r="D227" s="100">
        <v>7000000</v>
      </c>
      <c r="E227" s="100">
        <v>2500000</v>
      </c>
    </row>
    <row r="228" spans="1:5" ht="18" customHeight="1">
      <c r="A228" s="151">
        <v>3111402</v>
      </c>
      <c r="B228" s="400" t="s">
        <v>639</v>
      </c>
      <c r="C228" s="158" t="s">
        <v>640</v>
      </c>
      <c r="D228" s="100">
        <v>7000000</v>
      </c>
      <c r="E228" s="100">
        <v>2500000</v>
      </c>
    </row>
    <row r="229" spans="1:5" ht="20.25" customHeight="1">
      <c r="A229" s="151">
        <v>3111402</v>
      </c>
      <c r="B229" s="400" t="s">
        <v>639</v>
      </c>
      <c r="C229" s="158" t="s">
        <v>641</v>
      </c>
      <c r="D229" s="100">
        <v>7000000</v>
      </c>
      <c r="E229" s="100">
        <v>2500000</v>
      </c>
    </row>
    <row r="230" spans="1:5" ht="18.75" customHeight="1">
      <c r="A230" s="156"/>
      <c r="B230" s="627" t="s">
        <v>313</v>
      </c>
      <c r="C230" s="660"/>
      <c r="D230" s="514">
        <f>SUM(D225:D229)</f>
        <v>48000000</v>
      </c>
      <c r="E230" s="514">
        <f>SUM(E225:E229)</f>
        <v>10000000</v>
      </c>
    </row>
    <row r="231" spans="1:10" s="308" customFormat="1" ht="15.75">
      <c r="A231" s="580" t="s">
        <v>642</v>
      </c>
      <c r="B231" s="906" t="s">
        <v>643</v>
      </c>
      <c r="C231" s="907"/>
      <c r="D231" s="651"/>
      <c r="E231" s="651"/>
      <c r="F231" s="688"/>
      <c r="G231" s="688"/>
      <c r="H231" s="688"/>
      <c r="I231" s="688"/>
      <c r="J231" s="688"/>
    </row>
    <row r="232" spans="1:5" ht="15.75">
      <c r="A232" s="165">
        <v>3110402</v>
      </c>
      <c r="B232" s="27" t="s">
        <v>644</v>
      </c>
      <c r="C232" s="158"/>
      <c r="D232" s="100">
        <v>2816029</v>
      </c>
      <c r="E232" s="100"/>
    </row>
    <row r="233" spans="1:10" s="504" customFormat="1" ht="15.75">
      <c r="A233" s="165"/>
      <c r="B233" s="27" t="s">
        <v>1116</v>
      </c>
      <c r="C233" s="158"/>
      <c r="D233" s="100"/>
      <c r="E233" s="100">
        <v>4500000</v>
      </c>
      <c r="F233" s="682"/>
      <c r="G233" s="682"/>
      <c r="H233" s="682"/>
      <c r="I233" s="682"/>
      <c r="J233" s="682"/>
    </row>
    <row r="234" spans="1:5" ht="15.75">
      <c r="A234" s="165">
        <v>3110402</v>
      </c>
      <c r="B234" s="27" t="s">
        <v>645</v>
      </c>
      <c r="C234" s="158"/>
      <c r="D234" s="100">
        <v>2350000</v>
      </c>
      <c r="E234" s="100"/>
    </row>
    <row r="235" spans="1:10" s="504" customFormat="1" ht="15.75">
      <c r="A235" s="165"/>
      <c r="B235" s="509" t="s">
        <v>1115</v>
      </c>
      <c r="C235" s="577"/>
      <c r="D235" s="57"/>
      <c r="E235" s="57">
        <v>5000000</v>
      </c>
      <c r="F235" s="682"/>
      <c r="G235" s="682"/>
      <c r="H235" s="682"/>
      <c r="I235" s="682"/>
      <c r="J235" s="682"/>
    </row>
    <row r="236" spans="1:10" s="504" customFormat="1" ht="15.75">
      <c r="A236" s="165"/>
      <c r="B236" s="509" t="s">
        <v>1123</v>
      </c>
      <c r="C236" s="577"/>
      <c r="D236" s="57"/>
      <c r="E236" s="57">
        <v>7480000</v>
      </c>
      <c r="F236" s="682"/>
      <c r="G236" s="682"/>
      <c r="H236" s="682"/>
      <c r="I236" s="682"/>
      <c r="J236" s="682"/>
    </row>
    <row r="237" spans="1:10" s="504" customFormat="1" ht="15.75">
      <c r="A237" s="165"/>
      <c r="B237" s="158" t="s">
        <v>1013</v>
      </c>
      <c r="C237" s="158"/>
      <c r="D237" s="100">
        <v>1572291</v>
      </c>
      <c r="E237" s="100"/>
      <c r="F237" s="682"/>
      <c r="G237" s="682"/>
      <c r="H237" s="682"/>
      <c r="I237" s="682"/>
      <c r="J237" s="682"/>
    </row>
    <row r="238" spans="1:10" s="504" customFormat="1" ht="15.75">
      <c r="A238" s="165"/>
      <c r="B238" s="400" t="s">
        <v>1019</v>
      </c>
      <c r="C238" s="158"/>
      <c r="D238" s="100">
        <v>505000</v>
      </c>
      <c r="E238" s="100"/>
      <c r="F238" s="682"/>
      <c r="G238" s="682"/>
      <c r="H238" s="682"/>
      <c r="I238" s="682"/>
      <c r="J238" s="682"/>
    </row>
    <row r="239" spans="1:10" s="504" customFormat="1" ht="15.75">
      <c r="A239" s="165"/>
      <c r="B239" s="400" t="s">
        <v>1020</v>
      </c>
      <c r="C239" s="158"/>
      <c r="D239" s="100">
        <v>3008000</v>
      </c>
      <c r="E239" s="100"/>
      <c r="F239" s="682"/>
      <c r="G239" s="682"/>
      <c r="H239" s="682"/>
      <c r="I239" s="682"/>
      <c r="J239" s="682"/>
    </row>
    <row r="240" spans="1:5" ht="15.75">
      <c r="A240" s="165">
        <v>3110402</v>
      </c>
      <c r="B240" s="27" t="s">
        <v>646</v>
      </c>
      <c r="C240" s="158"/>
      <c r="D240" s="100">
        <v>3500000</v>
      </c>
      <c r="E240" s="100"/>
    </row>
    <row r="241" spans="1:5" ht="15.75">
      <c r="A241" s="165">
        <v>3110402</v>
      </c>
      <c r="B241" s="27" t="s">
        <v>647</v>
      </c>
      <c r="C241" s="158"/>
      <c r="D241" s="100">
        <v>3076000</v>
      </c>
      <c r="E241" s="100"/>
    </row>
    <row r="242" spans="1:5" ht="15.75">
      <c r="A242" s="165">
        <v>3110402</v>
      </c>
      <c r="B242" s="27" t="s">
        <v>648</v>
      </c>
      <c r="C242" s="158"/>
      <c r="D242" s="100">
        <v>3514581</v>
      </c>
      <c r="E242" s="100"/>
    </row>
    <row r="243" spans="1:10" s="504" customFormat="1" ht="15.75">
      <c r="A243" s="165"/>
      <c r="B243" s="27" t="s">
        <v>1026</v>
      </c>
      <c r="C243" s="158"/>
      <c r="D243" s="100">
        <v>495000</v>
      </c>
      <c r="E243" s="100"/>
      <c r="F243" s="682"/>
      <c r="G243" s="682"/>
      <c r="H243" s="682"/>
      <c r="I243" s="682"/>
      <c r="J243" s="682"/>
    </row>
    <row r="244" spans="1:10" s="392" customFormat="1" ht="15.75">
      <c r="A244" s="165"/>
      <c r="B244" s="27" t="s">
        <v>969</v>
      </c>
      <c r="C244" s="158"/>
      <c r="D244" s="100">
        <v>600000</v>
      </c>
      <c r="E244" s="100"/>
      <c r="F244" s="682"/>
      <c r="G244" s="682"/>
      <c r="H244" s="682"/>
      <c r="I244" s="682"/>
      <c r="J244" s="682"/>
    </row>
    <row r="245" spans="1:5" ht="15.75">
      <c r="A245" s="168"/>
      <c r="B245" s="614" t="s">
        <v>313</v>
      </c>
      <c r="C245" s="660"/>
      <c r="D245" s="514">
        <f>SUM(D232:D244)</f>
        <v>21436901</v>
      </c>
      <c r="E245" s="514">
        <f>SUM(E232:E244)</f>
        <v>16980000</v>
      </c>
    </row>
    <row r="246" spans="1:5" ht="18" customHeight="1">
      <c r="A246" s="165">
        <v>3110504</v>
      </c>
      <c r="B246" s="27" t="s">
        <v>649</v>
      </c>
      <c r="C246" s="158" t="s">
        <v>650</v>
      </c>
      <c r="D246" s="100">
        <v>5000000</v>
      </c>
      <c r="E246" s="100"/>
    </row>
    <row r="247" spans="1:10" s="504" customFormat="1" ht="18" customHeight="1">
      <c r="A247" s="165"/>
      <c r="B247" s="27" t="s">
        <v>1044</v>
      </c>
      <c r="C247" s="158"/>
      <c r="D247" s="100">
        <v>2300000</v>
      </c>
      <c r="E247" s="100"/>
      <c r="F247" s="682"/>
      <c r="G247" s="682"/>
      <c r="H247" s="682"/>
      <c r="I247" s="682"/>
      <c r="J247" s="682"/>
    </row>
    <row r="248" spans="1:10" s="504" customFormat="1" ht="18" customHeight="1">
      <c r="A248" s="165"/>
      <c r="B248" s="27" t="s">
        <v>1045</v>
      </c>
      <c r="C248" s="158"/>
      <c r="D248" s="100">
        <v>2350000</v>
      </c>
      <c r="E248" s="100"/>
      <c r="F248" s="682"/>
      <c r="G248" s="682"/>
      <c r="H248" s="682"/>
      <c r="I248" s="682"/>
      <c r="J248" s="682"/>
    </row>
    <row r="249" spans="1:10" s="504" customFormat="1" ht="18" customHeight="1">
      <c r="A249" s="165"/>
      <c r="B249" s="400" t="s">
        <v>1014</v>
      </c>
      <c r="C249" s="158"/>
      <c r="D249" s="100">
        <v>524600</v>
      </c>
      <c r="E249" s="100"/>
      <c r="F249" s="682"/>
      <c r="G249" s="682"/>
      <c r="H249" s="682"/>
      <c r="I249" s="682"/>
      <c r="J249" s="682"/>
    </row>
    <row r="250" spans="1:10" s="504" customFormat="1" ht="18" customHeight="1">
      <c r="A250" s="165"/>
      <c r="B250" s="400" t="s">
        <v>1122</v>
      </c>
      <c r="C250" s="158"/>
      <c r="D250" s="100"/>
      <c r="E250" s="100">
        <v>10000000</v>
      </c>
      <c r="F250" s="682"/>
      <c r="G250" s="682"/>
      <c r="H250" s="682"/>
      <c r="I250" s="682"/>
      <c r="J250" s="682"/>
    </row>
    <row r="251" spans="1:10" s="504" customFormat="1" ht="18" customHeight="1">
      <c r="A251" s="165"/>
      <c r="B251" s="400" t="s">
        <v>1124</v>
      </c>
      <c r="C251" s="158"/>
      <c r="D251" s="100"/>
      <c r="E251" s="100">
        <v>90000</v>
      </c>
      <c r="F251" s="682"/>
      <c r="G251" s="682"/>
      <c r="H251" s="682"/>
      <c r="I251" s="682"/>
      <c r="J251" s="682"/>
    </row>
    <row r="252" spans="1:10" s="504" customFormat="1" ht="18" customHeight="1">
      <c r="A252" s="165"/>
      <c r="B252" s="189" t="s">
        <v>1114</v>
      </c>
      <c r="C252" s="158"/>
      <c r="D252" s="100"/>
      <c r="E252" s="100">
        <v>25000000</v>
      </c>
      <c r="F252" s="682"/>
      <c r="G252" s="682"/>
      <c r="H252" s="682"/>
      <c r="I252" s="682"/>
      <c r="J252" s="682"/>
    </row>
    <row r="253" spans="1:5" ht="19.5" customHeight="1">
      <c r="A253" s="165">
        <v>3130101</v>
      </c>
      <c r="B253" s="400" t="s">
        <v>651</v>
      </c>
      <c r="C253" s="158" t="s">
        <v>499</v>
      </c>
      <c r="D253" s="100">
        <v>7750000</v>
      </c>
      <c r="E253" s="100"/>
    </row>
    <row r="254" spans="1:10" s="392" customFormat="1" ht="19.5" customHeight="1">
      <c r="A254" s="165"/>
      <c r="B254" s="402" t="s">
        <v>967</v>
      </c>
      <c r="C254" s="158" t="s">
        <v>510</v>
      </c>
      <c r="D254" s="100">
        <v>1300000</v>
      </c>
      <c r="E254" s="100"/>
      <c r="F254" s="682"/>
      <c r="G254" s="682"/>
      <c r="H254" s="682"/>
      <c r="I254" s="682"/>
      <c r="J254" s="682"/>
    </row>
    <row r="255" spans="1:10" s="392" customFormat="1" ht="19.5" customHeight="1">
      <c r="A255" s="165"/>
      <c r="B255" s="402" t="s">
        <v>968</v>
      </c>
      <c r="C255" s="158"/>
      <c r="D255" s="100">
        <v>1800000</v>
      </c>
      <c r="E255" s="100"/>
      <c r="F255" s="682"/>
      <c r="G255" s="682"/>
      <c r="H255" s="682"/>
      <c r="I255" s="682"/>
      <c r="J255" s="682"/>
    </row>
    <row r="256" spans="1:10" s="392" customFormat="1" ht="19.5" customHeight="1">
      <c r="A256" s="165"/>
      <c r="B256" s="402" t="s">
        <v>970</v>
      </c>
      <c r="C256" s="158"/>
      <c r="D256" s="100">
        <v>1500000</v>
      </c>
      <c r="E256" s="100"/>
      <c r="F256" s="682"/>
      <c r="G256" s="682"/>
      <c r="H256" s="682"/>
      <c r="I256" s="682"/>
      <c r="J256" s="682"/>
    </row>
    <row r="257" spans="1:5" ht="19.5" customHeight="1">
      <c r="A257" s="165"/>
      <c r="B257" s="628" t="s">
        <v>313</v>
      </c>
      <c r="C257" s="661"/>
      <c r="D257" s="514">
        <f>SUM(D246:D256)</f>
        <v>22524600</v>
      </c>
      <c r="E257" s="514">
        <f>SUM(E246:E256)</f>
        <v>35090000</v>
      </c>
    </row>
    <row r="258" spans="1:10" s="579" customFormat="1" ht="15.75">
      <c r="A258" s="151">
        <v>3111011</v>
      </c>
      <c r="B258" s="909" t="s">
        <v>1117</v>
      </c>
      <c r="C258" s="910"/>
      <c r="D258" s="651">
        <v>46900000</v>
      </c>
      <c r="E258" s="651">
        <v>27000000</v>
      </c>
      <c r="F258" s="689"/>
      <c r="G258" s="689"/>
      <c r="H258" s="689"/>
      <c r="I258" s="689"/>
      <c r="J258" s="689"/>
    </row>
    <row r="259" spans="1:10" s="21" customFormat="1" ht="17.25" customHeight="1">
      <c r="A259" s="151"/>
      <c r="B259" s="629" t="s">
        <v>313</v>
      </c>
      <c r="C259" s="662"/>
      <c r="D259" s="642">
        <f>D258</f>
        <v>46900000</v>
      </c>
      <c r="E259" s="642">
        <f>E258</f>
        <v>27000000</v>
      </c>
      <c r="F259" s="683"/>
      <c r="G259" s="683"/>
      <c r="H259" s="683"/>
      <c r="I259" s="683"/>
      <c r="J259" s="683"/>
    </row>
    <row r="260" spans="1:5" ht="15.75">
      <c r="A260" s="155"/>
      <c r="B260" s="613" t="s">
        <v>1024</v>
      </c>
      <c r="C260" s="648"/>
      <c r="D260" s="640">
        <f>SUM(D259,D257,D245,D230)</f>
        <v>138861501</v>
      </c>
      <c r="E260" s="640">
        <f>SUM(E259,E257,E245,E230)</f>
        <v>89070000</v>
      </c>
    </row>
    <row r="261" spans="1:5" ht="15.75">
      <c r="A261" s="151"/>
      <c r="B261" s="885" t="s">
        <v>215</v>
      </c>
      <c r="C261" s="885"/>
      <c r="D261" s="636"/>
      <c r="E261" s="636"/>
    </row>
    <row r="262" spans="1:10" s="93" customFormat="1" ht="15.75">
      <c r="A262" s="151">
        <v>3110401</v>
      </c>
      <c r="B262" s="764" t="s">
        <v>1076</v>
      </c>
      <c r="C262" s="663"/>
      <c r="D262" s="57">
        <v>301892711</v>
      </c>
      <c r="E262" s="57">
        <v>300000000</v>
      </c>
      <c r="F262" s="690"/>
      <c r="G262" s="690"/>
      <c r="H262" s="690"/>
      <c r="I262" s="690"/>
      <c r="J262" s="690"/>
    </row>
    <row r="263" spans="1:6" ht="16.5" customHeight="1">
      <c r="A263" s="151"/>
      <c r="B263" s="424" t="s">
        <v>313</v>
      </c>
      <c r="C263" s="664"/>
      <c r="D263" s="77">
        <f>SUM(D262)</f>
        <v>301892711</v>
      </c>
      <c r="E263" s="77">
        <f>SUM(E262)</f>
        <v>300000000</v>
      </c>
      <c r="F263" s="685"/>
    </row>
    <row r="264" spans="1:10" s="308" customFormat="1" ht="15.75">
      <c r="A264" s="151">
        <v>3110401</v>
      </c>
      <c r="B264" s="401" t="s">
        <v>1041</v>
      </c>
      <c r="C264" s="665"/>
      <c r="D264" s="651">
        <v>233427687</v>
      </c>
      <c r="E264" s="651">
        <v>135000000</v>
      </c>
      <c r="F264" s="691"/>
      <c r="G264" s="688"/>
      <c r="H264" s="688"/>
      <c r="I264" s="688"/>
      <c r="J264" s="688"/>
    </row>
    <row r="265" spans="1:10" s="2" customFormat="1" ht="15.75">
      <c r="A265" s="390"/>
      <c r="B265" s="391" t="s">
        <v>670</v>
      </c>
      <c r="C265" s="391"/>
      <c r="D265" s="599">
        <f>SUM(D264)</f>
        <v>233427687</v>
      </c>
      <c r="E265" s="599">
        <f>SUM(E264)</f>
        <v>135000000</v>
      </c>
      <c r="F265" s="681"/>
      <c r="G265" s="681"/>
      <c r="H265" s="681"/>
      <c r="I265" s="681"/>
      <c r="J265" s="681"/>
    </row>
    <row r="266" spans="1:10" s="2" customFormat="1" ht="15.75">
      <c r="A266" s="151"/>
      <c r="B266" s="56" t="s">
        <v>1040</v>
      </c>
      <c r="C266" s="386"/>
      <c r="D266" s="57">
        <v>140538928</v>
      </c>
      <c r="E266" s="57">
        <v>90000000</v>
      </c>
      <c r="F266" s="681"/>
      <c r="G266" s="681"/>
      <c r="H266" s="681"/>
      <c r="I266" s="681"/>
      <c r="J266" s="681"/>
    </row>
    <row r="267" spans="1:10" s="2" customFormat="1" ht="15.75">
      <c r="A267" s="385"/>
      <c r="B267" s="418" t="s">
        <v>670</v>
      </c>
      <c r="C267" s="418"/>
      <c r="D267" s="600">
        <f>SUM(D266)</f>
        <v>140538928</v>
      </c>
      <c r="E267" s="600">
        <f>SUM(E266)</f>
        <v>90000000</v>
      </c>
      <c r="F267" s="681"/>
      <c r="G267" s="681"/>
      <c r="H267" s="681"/>
      <c r="I267" s="681"/>
      <c r="J267" s="681"/>
    </row>
    <row r="268" spans="1:5" ht="15" customHeight="1">
      <c r="A268" s="166">
        <v>3110601</v>
      </c>
      <c r="B268" s="630" t="s">
        <v>927</v>
      </c>
      <c r="C268" s="401"/>
      <c r="D268" s="100"/>
      <c r="E268" s="100"/>
    </row>
    <row r="269" spans="1:10" s="98" customFormat="1" ht="15" customHeight="1">
      <c r="A269" s="166"/>
      <c r="B269" s="509" t="s">
        <v>1077</v>
      </c>
      <c r="C269" s="401"/>
      <c r="D269" s="100">
        <v>121602775</v>
      </c>
      <c r="E269" s="100">
        <v>141007938</v>
      </c>
      <c r="F269" s="682"/>
      <c r="G269" s="682"/>
      <c r="H269" s="682"/>
      <c r="I269" s="682"/>
      <c r="J269" s="682"/>
    </row>
    <row r="270" spans="1:10" s="392" customFormat="1" ht="15" customHeight="1">
      <c r="A270" s="395"/>
      <c r="B270" s="32" t="s">
        <v>670</v>
      </c>
      <c r="C270" s="621"/>
      <c r="D270" s="601">
        <f>SUM(D269:D269)</f>
        <v>121602775</v>
      </c>
      <c r="E270" s="601">
        <f>SUM(E269:E269)</f>
        <v>141007938</v>
      </c>
      <c r="F270" s="685"/>
      <c r="G270" s="682"/>
      <c r="H270" s="682"/>
      <c r="I270" s="682"/>
      <c r="J270" s="682"/>
    </row>
    <row r="271" spans="1:10" s="392" customFormat="1" ht="15" customHeight="1">
      <c r="A271" s="396"/>
      <c r="B271" s="614" t="s">
        <v>1038</v>
      </c>
      <c r="C271" s="650"/>
      <c r="D271" s="666"/>
      <c r="E271" s="666"/>
      <c r="F271" s="682"/>
      <c r="G271" s="682"/>
      <c r="H271" s="682"/>
      <c r="I271" s="682"/>
      <c r="J271" s="682"/>
    </row>
    <row r="272" spans="1:10" s="502" customFormat="1" ht="15" customHeight="1">
      <c r="A272" s="166"/>
      <c r="B272" s="509" t="s">
        <v>1078</v>
      </c>
      <c r="C272" s="667"/>
      <c r="D272" s="651">
        <v>221007938</v>
      </c>
      <c r="E272" s="651">
        <v>233001661</v>
      </c>
      <c r="F272" s="861">
        <f>E272+E269</f>
        <v>374009599</v>
      </c>
      <c r="G272" s="681"/>
      <c r="H272" s="681"/>
      <c r="I272" s="681"/>
      <c r="J272" s="681"/>
    </row>
    <row r="273" spans="1:10" s="2" customFormat="1" ht="15" customHeight="1">
      <c r="A273" s="395"/>
      <c r="B273" s="407" t="s">
        <v>931</v>
      </c>
      <c r="C273" s="407"/>
      <c r="D273" s="601">
        <f>SUM(D272)</f>
        <v>221007938</v>
      </c>
      <c r="E273" s="601">
        <f>SUM(E272)</f>
        <v>233001661</v>
      </c>
      <c r="F273" s="681"/>
      <c r="G273" s="681"/>
      <c r="H273" s="681"/>
      <c r="I273" s="681"/>
      <c r="J273" s="681"/>
    </row>
    <row r="274" spans="1:5" ht="15.75">
      <c r="A274" s="151">
        <v>3110601</v>
      </c>
      <c r="B274" s="509" t="s">
        <v>1039</v>
      </c>
      <c r="C274" s="401"/>
      <c r="D274" s="651">
        <v>45000000</v>
      </c>
      <c r="E274" s="651">
        <v>45000000</v>
      </c>
    </row>
    <row r="275" spans="1:5" ht="15.75">
      <c r="A275" s="166"/>
      <c r="B275" s="59" t="s">
        <v>313</v>
      </c>
      <c r="C275" s="59"/>
      <c r="D275" s="514">
        <f>SUM(D274)</f>
        <v>45000000</v>
      </c>
      <c r="E275" s="514">
        <f>SUM(E274)</f>
        <v>45000000</v>
      </c>
    </row>
    <row r="276" spans="1:6" ht="15.75">
      <c r="A276" s="151"/>
      <c r="B276" s="614" t="s">
        <v>933</v>
      </c>
      <c r="C276" s="668"/>
      <c r="D276" s="514">
        <f>SUM(D275,D273,D270,D267,D265,D263,)</f>
        <v>1063470039</v>
      </c>
      <c r="E276" s="514">
        <f>SUM(E275,E273,E270,E267,E265,E263,)</f>
        <v>944009599</v>
      </c>
      <c r="F276" s="685"/>
    </row>
    <row r="277" spans="1:5" ht="15.75">
      <c r="A277" s="151"/>
      <c r="B277" s="911" t="s">
        <v>216</v>
      </c>
      <c r="C277" s="912"/>
      <c r="D277" s="636"/>
      <c r="E277" s="636"/>
    </row>
    <row r="278" spans="1:10" s="2" customFormat="1" ht="15.75">
      <c r="A278" s="151"/>
      <c r="B278" s="397" t="s">
        <v>971</v>
      </c>
      <c r="C278" s="670"/>
      <c r="D278" s="57">
        <v>0</v>
      </c>
      <c r="E278" s="57">
        <v>10000000</v>
      </c>
      <c r="F278" s="681"/>
      <c r="G278" s="681"/>
      <c r="H278" s="681"/>
      <c r="I278" s="681"/>
      <c r="J278" s="681"/>
    </row>
    <row r="279" spans="1:10" s="502" customFormat="1" ht="15.75">
      <c r="A279" s="151"/>
      <c r="B279" s="397" t="s">
        <v>1102</v>
      </c>
      <c r="C279" s="670"/>
      <c r="D279" s="57"/>
      <c r="E279" s="57">
        <v>10000000</v>
      </c>
      <c r="F279" s="681"/>
      <c r="G279" s="681"/>
      <c r="H279" s="681"/>
      <c r="I279" s="681"/>
      <c r="J279" s="681"/>
    </row>
    <row r="280" spans="1:10" s="502" customFormat="1" ht="15.75">
      <c r="A280" s="151"/>
      <c r="B280" s="397" t="s">
        <v>1103</v>
      </c>
      <c r="C280" s="670"/>
      <c r="D280" s="57"/>
      <c r="E280" s="57">
        <v>10000000</v>
      </c>
      <c r="F280" s="681"/>
      <c r="G280" s="681"/>
      <c r="H280" s="681"/>
      <c r="I280" s="681"/>
      <c r="J280" s="681"/>
    </row>
    <row r="281" spans="1:10" s="98" customFormat="1" ht="15.75">
      <c r="A281" s="151"/>
      <c r="B281" s="401" t="s">
        <v>896</v>
      </c>
      <c r="C281" s="158"/>
      <c r="D281" s="57">
        <v>580000</v>
      </c>
      <c r="E281" s="57"/>
      <c r="F281" s="682"/>
      <c r="G281" s="682"/>
      <c r="H281" s="682"/>
      <c r="I281" s="682"/>
      <c r="J281" s="682"/>
    </row>
    <row r="282" spans="1:10" s="503" customFormat="1" ht="15.75">
      <c r="A282" s="151"/>
      <c r="B282" s="124" t="s">
        <v>1056</v>
      </c>
      <c r="C282" s="158" t="s">
        <v>1057</v>
      </c>
      <c r="D282" s="63">
        <v>2085706</v>
      </c>
      <c r="E282" s="63"/>
      <c r="F282" s="687"/>
      <c r="G282" s="682"/>
      <c r="H282" s="682"/>
      <c r="I282" s="682"/>
      <c r="J282" s="682"/>
    </row>
    <row r="283" spans="1:10" s="503" customFormat="1" ht="15.75">
      <c r="A283" s="151"/>
      <c r="B283" s="56" t="s">
        <v>1012</v>
      </c>
      <c r="C283" s="158"/>
      <c r="D283" s="57">
        <v>1198050</v>
      </c>
      <c r="E283" s="57"/>
      <c r="F283" s="687"/>
      <c r="G283" s="682"/>
      <c r="H283" s="682"/>
      <c r="I283" s="682"/>
      <c r="J283" s="682"/>
    </row>
    <row r="284" spans="1:10" s="392" customFormat="1" ht="15.75">
      <c r="A284" s="151"/>
      <c r="B284" s="401" t="s">
        <v>947</v>
      </c>
      <c r="C284" s="158"/>
      <c r="D284" s="57">
        <v>2000000</v>
      </c>
      <c r="E284" s="57"/>
      <c r="F284" s="682"/>
      <c r="G284" s="682"/>
      <c r="H284" s="682"/>
      <c r="I284" s="682"/>
      <c r="J284" s="682"/>
    </row>
    <row r="285" spans="1:10" s="98" customFormat="1" ht="15.75">
      <c r="A285" s="151">
        <v>3111504</v>
      </c>
      <c r="B285" s="401" t="s">
        <v>895</v>
      </c>
      <c r="C285" s="158"/>
      <c r="D285" s="57">
        <v>3000000</v>
      </c>
      <c r="E285" s="57">
        <v>3000000</v>
      </c>
      <c r="F285" s="682"/>
      <c r="G285" s="682"/>
      <c r="H285" s="682"/>
      <c r="I285" s="682"/>
      <c r="J285" s="682"/>
    </row>
    <row r="286" spans="1:10" s="504" customFormat="1" ht="15.75">
      <c r="A286" s="151"/>
      <c r="B286" s="401" t="s">
        <v>1016</v>
      </c>
      <c r="C286" s="158"/>
      <c r="D286" s="57">
        <v>1978950</v>
      </c>
      <c r="E286" s="57"/>
      <c r="F286" s="682"/>
      <c r="G286" s="682"/>
      <c r="H286" s="682"/>
      <c r="I286" s="682"/>
      <c r="J286" s="682"/>
    </row>
    <row r="287" spans="1:10" s="504" customFormat="1" ht="15.75">
      <c r="A287" s="151"/>
      <c r="B287" s="401" t="s">
        <v>1015</v>
      </c>
      <c r="C287" s="158"/>
      <c r="D287" s="57">
        <v>4000000</v>
      </c>
      <c r="E287" s="57"/>
      <c r="F287" s="682"/>
      <c r="G287" s="682"/>
      <c r="H287" s="682"/>
      <c r="I287" s="682"/>
      <c r="J287" s="682"/>
    </row>
    <row r="288" spans="1:10" s="21" customFormat="1" ht="16.5" customHeight="1">
      <c r="A288" s="151">
        <v>3111504</v>
      </c>
      <c r="B288" s="401" t="s">
        <v>653</v>
      </c>
      <c r="C288" s="158"/>
      <c r="D288" s="57">
        <v>3000000</v>
      </c>
      <c r="E288" s="57">
        <v>10000000</v>
      </c>
      <c r="F288" s="683"/>
      <c r="G288" s="683"/>
      <c r="H288" s="683"/>
      <c r="I288" s="683"/>
      <c r="J288" s="683"/>
    </row>
    <row r="289" spans="1:10" s="21" customFormat="1" ht="15.75">
      <c r="A289" s="151">
        <v>3111501</v>
      </c>
      <c r="B289" s="401" t="s">
        <v>936</v>
      </c>
      <c r="C289" s="158" t="s">
        <v>638</v>
      </c>
      <c r="D289" s="57">
        <v>6000000</v>
      </c>
      <c r="E289" s="57"/>
      <c r="F289" s="683"/>
      <c r="G289" s="683"/>
      <c r="H289" s="683"/>
      <c r="I289" s="683"/>
      <c r="J289" s="683"/>
    </row>
    <row r="290" spans="1:5" ht="15.75">
      <c r="A290" s="151">
        <v>3111501</v>
      </c>
      <c r="B290" s="401" t="s">
        <v>654</v>
      </c>
      <c r="C290" s="13" t="s">
        <v>592</v>
      </c>
      <c r="D290" s="57">
        <v>6000000</v>
      </c>
      <c r="E290" s="57"/>
    </row>
    <row r="291" spans="1:10" s="504" customFormat="1" ht="15.75">
      <c r="A291" s="151"/>
      <c r="B291" s="401" t="s">
        <v>1042</v>
      </c>
      <c r="C291" s="13"/>
      <c r="D291" s="57">
        <v>3000000</v>
      </c>
      <c r="E291" s="57"/>
      <c r="F291" s="682"/>
      <c r="G291" s="682"/>
      <c r="H291" s="682"/>
      <c r="I291" s="682"/>
      <c r="J291" s="682"/>
    </row>
    <row r="292" spans="1:5" ht="15.75">
      <c r="A292" s="151">
        <v>3110599</v>
      </c>
      <c r="B292" s="27" t="s">
        <v>655</v>
      </c>
      <c r="C292" s="13" t="s">
        <v>493</v>
      </c>
      <c r="D292" s="57">
        <v>3000000</v>
      </c>
      <c r="E292" s="57">
        <v>3000000</v>
      </c>
    </row>
    <row r="293" spans="1:5" ht="15.75">
      <c r="A293" s="151"/>
      <c r="B293" s="614" t="s">
        <v>604</v>
      </c>
      <c r="C293" s="668"/>
      <c r="D293" s="514">
        <f>SUM(D278:D292)</f>
        <v>35842706</v>
      </c>
      <c r="E293" s="514">
        <f>SUM(E278:E292)</f>
        <v>46000000</v>
      </c>
    </row>
    <row r="294" spans="1:5" ht="15.75">
      <c r="A294" s="155"/>
      <c r="B294" s="626" t="s">
        <v>656</v>
      </c>
      <c r="C294" s="659"/>
      <c r="D294" s="640">
        <f>SUM(D293,D276)</f>
        <v>1099312745</v>
      </c>
      <c r="E294" s="640">
        <f>SUM(E293,E276)</f>
        <v>990009599</v>
      </c>
    </row>
    <row r="295" spans="1:5" ht="15.75">
      <c r="A295" s="151"/>
      <c r="B295" s="913" t="s">
        <v>193</v>
      </c>
      <c r="C295" s="914"/>
      <c r="D295" s="671"/>
      <c r="E295" s="671"/>
    </row>
    <row r="296" spans="1:10" s="502" customFormat="1" ht="15.75">
      <c r="A296" s="151"/>
      <c r="B296" s="397" t="s">
        <v>836</v>
      </c>
      <c r="C296" s="670"/>
      <c r="D296" s="651">
        <v>123746483</v>
      </c>
      <c r="E296" s="651">
        <v>50000000</v>
      </c>
      <c r="F296" s="681"/>
      <c r="G296" s="681"/>
      <c r="H296" s="681"/>
      <c r="I296" s="681"/>
      <c r="J296" s="681"/>
    </row>
    <row r="297" spans="1:10" s="11" customFormat="1" ht="15.75">
      <c r="A297" s="385"/>
      <c r="B297" s="423" t="s">
        <v>313</v>
      </c>
      <c r="C297" s="672"/>
      <c r="D297" s="600">
        <f>SUM(D296)</f>
        <v>123746483</v>
      </c>
      <c r="E297" s="600">
        <f>SUM(E296)</f>
        <v>50000000</v>
      </c>
      <c r="F297" s="692"/>
      <c r="G297" s="692"/>
      <c r="H297" s="692"/>
      <c r="I297" s="692"/>
      <c r="J297" s="692"/>
    </row>
    <row r="298" spans="1:10" s="21" customFormat="1" ht="15.75" customHeight="1">
      <c r="A298" s="151">
        <v>7320300</v>
      </c>
      <c r="B298" s="400" t="s">
        <v>657</v>
      </c>
      <c r="C298" s="13"/>
      <c r="D298" s="121">
        <v>0</v>
      </c>
      <c r="E298" s="121"/>
      <c r="F298" s="683"/>
      <c r="G298" s="683"/>
      <c r="H298" s="683"/>
      <c r="I298" s="683"/>
      <c r="J298" s="683"/>
    </row>
    <row r="299" spans="1:5" ht="15.75">
      <c r="A299" s="155"/>
      <c r="B299" s="626" t="s">
        <v>658</v>
      </c>
      <c r="C299" s="659"/>
      <c r="D299" s="640">
        <f>SUM(D297+D298)</f>
        <v>123746483</v>
      </c>
      <c r="E299" s="640">
        <f>SUM(E297+E298)</f>
        <v>50000000</v>
      </c>
    </row>
    <row r="300" spans="1:5" ht="15.75">
      <c r="A300" s="151"/>
      <c r="B300" s="632" t="s">
        <v>283</v>
      </c>
      <c r="C300" s="673"/>
      <c r="D300" s="666"/>
      <c r="E300" s="666"/>
    </row>
    <row r="301" spans="1:5" ht="15.75">
      <c r="A301" s="166">
        <v>3110599</v>
      </c>
      <c r="B301" s="401" t="s">
        <v>930</v>
      </c>
      <c r="C301" s="401"/>
      <c r="D301" s="100">
        <v>95500000</v>
      </c>
      <c r="E301" s="100">
        <v>100000000</v>
      </c>
    </row>
    <row r="302" spans="1:10" s="146" customFormat="1" ht="15.75">
      <c r="A302" s="171"/>
      <c r="B302" s="501" t="s">
        <v>962</v>
      </c>
      <c r="C302" s="85"/>
      <c r="D302" s="145">
        <v>11000000</v>
      </c>
      <c r="E302" s="145"/>
      <c r="F302" s="684"/>
      <c r="G302" s="684"/>
      <c r="H302" s="684"/>
      <c r="I302" s="684"/>
      <c r="J302" s="684"/>
    </row>
    <row r="303" spans="1:5" ht="15.75">
      <c r="A303" s="151"/>
      <c r="B303" s="621" t="s">
        <v>313</v>
      </c>
      <c r="C303" s="621"/>
      <c r="D303" s="598">
        <f>SUM(D301:D302)</f>
        <v>106500000</v>
      </c>
      <c r="E303" s="598">
        <f>SUM(E301:E302)</f>
        <v>100000000</v>
      </c>
    </row>
    <row r="304" spans="1:10" s="146" customFormat="1" ht="15.75">
      <c r="A304" s="171">
        <v>3110599</v>
      </c>
      <c r="B304" s="631" t="s">
        <v>865</v>
      </c>
      <c r="C304" s="674"/>
      <c r="D304" s="145">
        <v>12527840</v>
      </c>
      <c r="E304" s="145">
        <v>17000000</v>
      </c>
      <c r="F304" s="684"/>
      <c r="G304" s="684"/>
      <c r="H304" s="684"/>
      <c r="I304" s="684"/>
      <c r="J304" s="684"/>
    </row>
    <row r="305" spans="1:5" ht="15.75">
      <c r="A305" s="151"/>
      <c r="B305" s="32" t="s">
        <v>313</v>
      </c>
      <c r="C305" s="675"/>
      <c r="D305" s="598">
        <f>SUM(D304)</f>
        <v>12527840</v>
      </c>
      <c r="E305" s="598"/>
    </row>
    <row r="306" spans="1:5" ht="15.75">
      <c r="A306" s="151">
        <v>3110600</v>
      </c>
      <c r="B306" s="509" t="s">
        <v>660</v>
      </c>
      <c r="C306" s="577" t="s">
        <v>661</v>
      </c>
      <c r="D306" s="100">
        <v>16100000</v>
      </c>
      <c r="E306" s="100">
        <v>16000000</v>
      </c>
    </row>
    <row r="307" spans="1:5" ht="15.75">
      <c r="A307" s="151"/>
      <c r="B307" s="633" t="s">
        <v>313</v>
      </c>
      <c r="C307" s="676"/>
      <c r="D307" s="598">
        <f>SUM(D306)</f>
        <v>16100000</v>
      </c>
      <c r="E307" s="598">
        <f>SUM(E306)</f>
        <v>16000000</v>
      </c>
    </row>
    <row r="308" spans="1:10" s="308" customFormat="1" ht="15.75">
      <c r="A308" s="151">
        <v>3110600</v>
      </c>
      <c r="B308" s="915" t="s">
        <v>663</v>
      </c>
      <c r="C308" s="916"/>
      <c r="D308" s="651">
        <v>29487540</v>
      </c>
      <c r="E308" s="651">
        <v>20000000</v>
      </c>
      <c r="F308" s="688"/>
      <c r="G308" s="688"/>
      <c r="H308" s="688"/>
      <c r="I308" s="688"/>
      <c r="J308" s="688"/>
    </row>
    <row r="309" spans="1:6" ht="15.75">
      <c r="A309" s="170"/>
      <c r="B309" s="32" t="s">
        <v>313</v>
      </c>
      <c r="C309" s="675"/>
      <c r="D309" s="598">
        <f>SUM(D308)</f>
        <v>29487540</v>
      </c>
      <c r="E309" s="598">
        <f>SUM(E308)</f>
        <v>20000000</v>
      </c>
      <c r="F309" s="685"/>
    </row>
    <row r="310" spans="1:5" ht="15.75">
      <c r="A310" s="151">
        <v>2210714</v>
      </c>
      <c r="B310" s="38" t="s">
        <v>664</v>
      </c>
      <c r="C310" s="669"/>
      <c r="D310" s="100">
        <v>0</v>
      </c>
      <c r="E310" s="100">
        <v>2000000</v>
      </c>
    </row>
    <row r="311" spans="1:5" ht="15.75">
      <c r="A311" s="151">
        <v>2210714</v>
      </c>
      <c r="B311" s="38" t="s">
        <v>665</v>
      </c>
      <c r="C311" s="669"/>
      <c r="D311" s="100">
        <v>0</v>
      </c>
      <c r="E311" s="100">
        <v>2000000</v>
      </c>
    </row>
    <row r="312" spans="1:5" ht="15.75">
      <c r="A312" s="151">
        <v>2640505</v>
      </c>
      <c r="B312" s="38" t="s">
        <v>666</v>
      </c>
      <c r="C312" s="669"/>
      <c r="D312" s="100">
        <v>0</v>
      </c>
      <c r="E312" s="100">
        <v>2000000</v>
      </c>
    </row>
    <row r="313" spans="1:5" ht="15.75">
      <c r="A313" s="151"/>
      <c r="B313" s="423" t="s">
        <v>313</v>
      </c>
      <c r="C313" s="672"/>
      <c r="D313" s="77">
        <f>SUM(D310:D312)</f>
        <v>0</v>
      </c>
      <c r="E313" s="77">
        <f>SUM(E310:E312)</f>
        <v>6000000</v>
      </c>
    </row>
    <row r="314" spans="1:5" ht="15.75">
      <c r="A314" s="155"/>
      <c r="B314" s="626" t="s">
        <v>667</v>
      </c>
      <c r="C314" s="659"/>
      <c r="D314" s="640">
        <f>SUM(D313,D309,D307,D305,D303,)</f>
        <v>164615380</v>
      </c>
      <c r="E314" s="640">
        <f>SUM(E313,E309,E307,E305,E303,)</f>
        <v>142000000</v>
      </c>
    </row>
    <row r="315" spans="1:5" ht="15.75">
      <c r="A315" s="151"/>
      <c r="B315" s="908" t="s">
        <v>1080</v>
      </c>
      <c r="C315" s="908"/>
      <c r="D315" s="671"/>
      <c r="E315" s="671"/>
    </row>
    <row r="316" spans="1:5" ht="15.75">
      <c r="A316" s="151"/>
      <c r="B316" s="821" t="str">
        <f>UPPER("Urban development grant")</f>
        <v>URBAN DEVELOPMENT GRANT</v>
      </c>
      <c r="C316" s="677"/>
      <c r="D316" s="636"/>
      <c r="E316" s="636"/>
    </row>
    <row r="317" spans="1:5" ht="15.75">
      <c r="A317" s="151"/>
      <c r="B317" s="401" t="s">
        <v>224</v>
      </c>
      <c r="C317" s="401"/>
      <c r="D317" s="100">
        <v>235805956</v>
      </c>
      <c r="E317" s="100">
        <f>Revenue!C16</f>
        <v>164053800</v>
      </c>
    </row>
    <row r="318" spans="1:5" ht="15.75">
      <c r="A318" s="385" t="s">
        <v>668</v>
      </c>
      <c r="B318" s="423" t="s">
        <v>313</v>
      </c>
      <c r="C318" s="672"/>
      <c r="D318" s="77">
        <f>SUM(D317)</f>
        <v>235805956</v>
      </c>
      <c r="E318" s="77">
        <f>SUM(E317:E317)</f>
        <v>164053800</v>
      </c>
    </row>
    <row r="319" spans="1:5" ht="15.75">
      <c r="A319" s="151"/>
      <c r="B319" s="56" t="s">
        <v>662</v>
      </c>
      <c r="C319" s="401" t="s">
        <v>669</v>
      </c>
      <c r="D319" s="100">
        <v>66439767</v>
      </c>
      <c r="E319" s="100">
        <v>50000000</v>
      </c>
    </row>
    <row r="320" spans="1:5" ht="15.75">
      <c r="A320" s="151"/>
      <c r="B320" s="58" t="s">
        <v>670</v>
      </c>
      <c r="C320" s="672"/>
      <c r="D320" s="77">
        <f>SUM(D319:D319)</f>
        <v>66439767</v>
      </c>
      <c r="E320" s="77">
        <f>SUM(E319:E319)</f>
        <v>50000000</v>
      </c>
    </row>
    <row r="321" spans="1:5" ht="15.75">
      <c r="A321" s="155"/>
      <c r="B321" s="613" t="s">
        <v>1079</v>
      </c>
      <c r="C321" s="648"/>
      <c r="D321" s="640">
        <f>SUM(D318,D320)</f>
        <v>302245723</v>
      </c>
      <c r="E321" s="640">
        <f>SUM(E318,E320)</f>
        <v>214053800</v>
      </c>
    </row>
    <row r="322" spans="1:5" ht="15.75">
      <c r="A322" s="155"/>
      <c r="B322" s="610" t="s">
        <v>671</v>
      </c>
      <c r="C322" s="678"/>
      <c r="D322" s="602">
        <f>SUM(D321,D314,D299,D294,D260,D223,D152,D135,D123,D111,D79,D54,D38,D33,D30,D8)</f>
        <v>4105711392</v>
      </c>
      <c r="E322" s="602">
        <f>SUM(E321,E314,E299,E294,E260,E223,E152,E135,E123,E111,E79,E54,E38,E33,E30,E8)</f>
        <v>3531908190</v>
      </c>
    </row>
    <row r="323" ht="15">
      <c r="D323" s="8">
        <v>200000000</v>
      </c>
    </row>
    <row r="324" ht="15">
      <c r="D324" s="8">
        <v>4311711392</v>
      </c>
    </row>
  </sheetData>
  <sheetProtection/>
  <mergeCells count="37">
    <mergeCell ref="B315:C315"/>
    <mergeCell ref="B258:C258"/>
    <mergeCell ref="B261:C261"/>
    <mergeCell ref="B277:C277"/>
    <mergeCell ref="B295:C295"/>
    <mergeCell ref="B308:C308"/>
    <mergeCell ref="B154:C154"/>
    <mergeCell ref="B155:C155"/>
    <mergeCell ref="B160:C160"/>
    <mergeCell ref="B231:C231"/>
    <mergeCell ref="B153:E153"/>
    <mergeCell ref="B224:E224"/>
    <mergeCell ref="B137:C137"/>
    <mergeCell ref="B143:C143"/>
    <mergeCell ref="B136:E136"/>
    <mergeCell ref="B98:C98"/>
    <mergeCell ref="B107:C107"/>
    <mergeCell ref="B119:C119"/>
    <mergeCell ref="B124:C124"/>
    <mergeCell ref="B128:C128"/>
    <mergeCell ref="B112:E112"/>
    <mergeCell ref="B57:C57"/>
    <mergeCell ref="B64:C64"/>
    <mergeCell ref="B71:C71"/>
    <mergeCell ref="B80:C80"/>
    <mergeCell ref="B81:C81"/>
    <mergeCell ref="B89:C89"/>
    <mergeCell ref="B20:C20"/>
    <mergeCell ref="B39:C39"/>
    <mergeCell ref="B56:C56"/>
    <mergeCell ref="B34:E34"/>
    <mergeCell ref="B55:E55"/>
    <mergeCell ref="B1:C1"/>
    <mergeCell ref="B2:C2"/>
    <mergeCell ref="B10:C10"/>
    <mergeCell ref="B9:E9"/>
    <mergeCell ref="B4:E4"/>
  </mergeCells>
  <conditionalFormatting sqref="B266">
    <cfRule type="duplicateValues" priority="59" dxfId="4" stopIfTrue="1">
      <formula>AND(COUNTIF($B$266:$B$266,B266)&gt;1,NOT(ISBLANK(B266)))</formula>
    </cfRule>
  </conditionalFormatting>
  <conditionalFormatting sqref="B129">
    <cfRule type="duplicateValues" priority="130" dxfId="4" stopIfTrue="1">
      <formula>AND(COUNTIF($B$129:$B$129,B129)&gt;1,NOT(ISBLANK(B129)))</formula>
    </cfRule>
    <cfRule type="duplicateValues" priority="131" dxfId="4" stopIfTrue="1">
      <formula>AND(COUNTIF($B$129:$B$129,B129)&gt;1,NOT(ISBLANK(B129)))</formula>
    </cfRule>
    <cfRule type="duplicateValues" priority="132" dxfId="4" stopIfTrue="1">
      <formula>AND(COUNTIF($B$129:$B$129,B129)&gt;1,NOT(ISBLANK(B129)))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  <rowBreaks count="2" manualBreakCount="2">
    <brk id="35" min="1" max="4" man="1"/>
    <brk id="52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Jasper Mokaya</cp:lastModifiedBy>
  <cp:lastPrinted>2020-04-30T10:10:05Z</cp:lastPrinted>
  <dcterms:created xsi:type="dcterms:W3CDTF">2013-04-18T03:40:57Z</dcterms:created>
  <dcterms:modified xsi:type="dcterms:W3CDTF">2020-05-17T09:10:19Z</dcterms:modified>
  <cp:category/>
  <cp:version/>
  <cp:contentType/>
  <cp:contentStatus/>
</cp:coreProperties>
</file>